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IEDA\Dropbox\IEDA\2017-18\PIAC compartida\Curso_2017_18\tarea 7\"/>
    </mc:Choice>
  </mc:AlternateContent>
  <bookViews>
    <workbookView xWindow="0" yWindow="0" windowWidth="19440" windowHeight="11700" tabRatio="716" activeTab="1"/>
  </bookViews>
  <sheets>
    <sheet name="Identificación" sheetId="1" r:id="rId1"/>
    <sheet name="Datos" sheetId="2" r:id="rId2"/>
    <sheet name="capitalización" sheetId="3" r:id="rId3"/>
    <sheet name="tesorería" sheetId="4" r:id="rId4"/>
    <sheet name="descuento" sheetId="5" r:id="rId5"/>
    <sheet name="equivalencia" sheetId="6" r:id="rId6"/>
    <sheet name="TAE" sheetId="7" r:id="rId7"/>
  </sheets>
  <definedNames>
    <definedName name="Z_C4A4410C_4878_4479_83AC_0B044EAF1DA6_.wvu.Cols" localSheetId="0" hidden="1">Identificación!$A:$D</definedName>
    <definedName name="Z_C4A4410C_4878_4479_83AC_0B044EAF1DA6_.wvu.Cols" localSheetId="6" hidden="1">TAE!$A:$A</definedName>
    <definedName name="Z_C4A4410C_4878_4479_83AC_0B044EAF1DA6_.wvu.Rows" localSheetId="0" hidden="1">Identificación!$1:$1</definedName>
  </definedNames>
  <calcPr calcId="162913" concurrentCalc="0"/>
  <customWorkbookViews>
    <customWorkbookView name="pc_sobremesa - Vista personalizada" guid="{C4A4410C-4878-4479-83AC-0B044EAF1DA6}" mergeInterval="0" personalView="1" maximized="1" windowWidth="1276" windowHeight="798" tabRatio="716" activeSheetId="2" showComments="commIndAndComment"/>
  </customWorkbookViews>
</workbook>
</file>

<file path=xl/calcChain.xml><?xml version="1.0" encoding="utf-8"?>
<calcChain xmlns="http://schemas.openxmlformats.org/spreadsheetml/2006/main">
  <c r="F1" i="1" l="1"/>
  <c r="G1" i="1"/>
  <c r="H1" i="1"/>
  <c r="I1" i="1"/>
  <c r="J1" i="1"/>
  <c r="K1" i="1"/>
  <c r="L1" i="1"/>
  <c r="M1" i="1"/>
  <c r="N1" i="1"/>
  <c r="B3" i="2"/>
  <c r="B4" i="2"/>
  <c r="D3" i="2"/>
  <c r="D4" i="2"/>
  <c r="K4" i="2"/>
  <c r="E4" i="2"/>
  <c r="F4" i="2"/>
  <c r="L4" i="2"/>
  <c r="I4" i="2"/>
  <c r="E49" i="2"/>
  <c r="D49" i="2"/>
  <c r="C49" i="2"/>
  <c r="B49" i="2"/>
  <c r="A49" i="2"/>
  <c r="F33" i="2"/>
  <c r="C33" i="2"/>
  <c r="C34" i="2"/>
  <c r="Q32" i="2"/>
  <c r="F32" i="2"/>
  <c r="E32" i="2"/>
  <c r="B24" i="2"/>
  <c r="B23" i="2"/>
  <c r="B16" i="2"/>
  <c r="D5" i="2"/>
  <c r="E33" i="2"/>
  <c r="G40" i="2"/>
  <c r="F49" i="2"/>
  <c r="C41" i="2"/>
  <c r="C42" i="2"/>
  <c r="B20" i="2"/>
  <c r="B40" i="2"/>
  <c r="B41" i="2"/>
  <c r="B42" i="2"/>
  <c r="Q33" i="2"/>
  <c r="Q34" i="2"/>
  <c r="F34" i="2"/>
  <c r="B32" i="2"/>
  <c r="B34" i="2"/>
  <c r="B33" i="2"/>
  <c r="B27" i="2"/>
  <c r="B26" i="2"/>
  <c r="B25" i="2"/>
  <c r="B19" i="2"/>
  <c r="B21" i="2"/>
  <c r="B17" i="2"/>
  <c r="L9" i="2"/>
  <c r="D6" i="2"/>
  <c r="D7" i="2"/>
  <c r="B5" i="2"/>
  <c r="B6" i="2"/>
  <c r="B7" i="2"/>
  <c r="A6" i="2"/>
  <c r="A7" i="2"/>
  <c r="A8" i="2"/>
  <c r="A9" i="2"/>
  <c r="L8" i="2"/>
  <c r="L7" i="2"/>
  <c r="L6" i="2"/>
  <c r="K6" i="2"/>
  <c r="E6" i="2"/>
  <c r="I6" i="2"/>
  <c r="H6" i="2"/>
  <c r="L5" i="2"/>
  <c r="K5" i="2"/>
  <c r="E5" i="2"/>
  <c r="I5" i="2"/>
  <c r="H5" i="2"/>
  <c r="H4" i="2"/>
  <c r="G4" i="2"/>
  <c r="A4" i="2"/>
  <c r="L3" i="2"/>
  <c r="K3" i="2"/>
  <c r="E3" i="2"/>
  <c r="I3" i="2"/>
  <c r="H3" i="2"/>
  <c r="G6" i="3"/>
  <c r="A8" i="3"/>
  <c r="A9" i="3"/>
  <c r="A10" i="3"/>
  <c r="A11" i="3"/>
  <c r="A6" i="3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G3" i="1"/>
  <c r="B8" i="2"/>
  <c r="K7" i="2"/>
  <c r="E7" i="2"/>
  <c r="I7" i="2"/>
  <c r="H7" i="2"/>
  <c r="D8" i="2"/>
  <c r="K8" i="2"/>
  <c r="E8" i="2"/>
  <c r="D9" i="2"/>
  <c r="K9" i="2"/>
  <c r="E9" i="2"/>
  <c r="B9" i="2"/>
  <c r="I9" i="2"/>
  <c r="H9" i="2"/>
  <c r="I8" i="2"/>
  <c r="H8" i="2"/>
</calcChain>
</file>

<file path=xl/sharedStrings.xml><?xml version="1.0" encoding="utf-8"?>
<sst xmlns="http://schemas.openxmlformats.org/spreadsheetml/2006/main" count="454" uniqueCount="377">
  <si>
    <t>I</t>
  </si>
  <si>
    <t>Nombre</t>
  </si>
  <si>
    <t>Apellido(s)</t>
  </si>
  <si>
    <t>Sergio</t>
  </si>
  <si>
    <t>Abel Vidal</t>
  </si>
  <si>
    <t>Marta</t>
  </si>
  <si>
    <t>Acedo Piñero</t>
  </si>
  <si>
    <t>Introducir DNI (sin letra)</t>
  </si>
  <si>
    <t>Nélida</t>
  </si>
  <si>
    <t>Adorna Rojas</t>
  </si>
  <si>
    <t>Jenifer</t>
  </si>
  <si>
    <t>Aguilar Fernández</t>
  </si>
  <si>
    <t>Verónica</t>
  </si>
  <si>
    <t>Alcántara Delgado</t>
  </si>
  <si>
    <t>Antonio Marcos</t>
  </si>
  <si>
    <t>Alcántara Granados</t>
  </si>
  <si>
    <t>María Verónica</t>
  </si>
  <si>
    <t>Almeneiro Calvo</t>
  </si>
  <si>
    <t>Manuel</t>
  </si>
  <si>
    <t>Angulo Jiménez</t>
  </si>
  <si>
    <t>Encarnación</t>
  </si>
  <si>
    <t>Arcas Ortega</t>
  </si>
  <si>
    <t>María Isabel</t>
  </si>
  <si>
    <t>Ariza Navarro</t>
  </si>
  <si>
    <t>Emilia</t>
  </si>
  <si>
    <t>Barrera Calvente</t>
  </si>
  <si>
    <t>Elio</t>
  </si>
  <si>
    <t>Bedmar Honrubia</t>
  </si>
  <si>
    <t>Míriam</t>
  </si>
  <si>
    <t>Benítez Prados</t>
  </si>
  <si>
    <t>Boda Suárez</t>
  </si>
  <si>
    <t>Javier</t>
  </si>
  <si>
    <t>Boto López</t>
  </si>
  <si>
    <t>Jaouad</t>
  </si>
  <si>
    <t>Boutabouzi Bellafkih</t>
  </si>
  <si>
    <t>Batseba</t>
  </si>
  <si>
    <t>Burgos Gracia</t>
  </si>
  <si>
    <t>María Almudena</t>
  </si>
  <si>
    <t>Cabañas Fernández</t>
  </si>
  <si>
    <t>Virginia</t>
  </si>
  <si>
    <t>Cabrera Crespo</t>
  </si>
  <si>
    <t>Antonio</t>
  </si>
  <si>
    <t>Calvo Romero</t>
  </si>
  <si>
    <t>Leocadia</t>
  </si>
  <si>
    <t>Camacho De Lorenzo</t>
  </si>
  <si>
    <t>María Jesús</t>
  </si>
  <si>
    <t>Caro Salguero</t>
  </si>
  <si>
    <t>Mariana</t>
  </si>
  <si>
    <t>Casares</t>
  </si>
  <si>
    <t>Tania</t>
  </si>
  <si>
    <t>Castaño Ríos</t>
  </si>
  <si>
    <t>Antonio Manuel</t>
  </si>
  <si>
    <t>Castilla Marín</t>
  </si>
  <si>
    <t>María Luisa</t>
  </si>
  <si>
    <t>Castro Arcos</t>
  </si>
  <si>
    <t>Andrés</t>
  </si>
  <si>
    <t>Ceballos Calvente</t>
  </si>
  <si>
    <t>José David</t>
  </si>
  <si>
    <t>Chacón Maya</t>
  </si>
  <si>
    <t>Rabab</t>
  </si>
  <si>
    <t>Chargui Wafik</t>
  </si>
  <si>
    <t>Adrián</t>
  </si>
  <si>
    <t>Clavijo Madrid</t>
  </si>
  <si>
    <t>Inmaculada</t>
  </si>
  <si>
    <t>Cobos Hidalgo</t>
  </si>
  <si>
    <t>Patry</t>
  </si>
  <si>
    <t>Corona Martínez</t>
  </si>
  <si>
    <t>Isabel</t>
  </si>
  <si>
    <t>Cortes Bermúdez</t>
  </si>
  <si>
    <t>Lydia</t>
  </si>
  <si>
    <t>Cubillas Rodríguez</t>
  </si>
  <si>
    <t>Lucas</t>
  </si>
  <si>
    <t>Da Rosa Hugo</t>
  </si>
  <si>
    <t>De la Puente Infantes</t>
  </si>
  <si>
    <t>Cristina</t>
  </si>
  <si>
    <t>Delgado Rubio</t>
  </si>
  <si>
    <t>Marina</t>
  </si>
  <si>
    <t>Domínguez Fuentesal</t>
  </si>
  <si>
    <t>María del Rocío</t>
  </si>
  <si>
    <t>Domínguez Prieto</t>
  </si>
  <si>
    <t>Araceli</t>
  </si>
  <si>
    <t>Egea Pérez</t>
  </si>
  <si>
    <t>María de las Nieves</t>
  </si>
  <si>
    <t>Escalona Gómez</t>
  </si>
  <si>
    <t>Anaís</t>
  </si>
  <si>
    <t>Estévez Molina</t>
  </si>
  <si>
    <t>Antonia</t>
  </si>
  <si>
    <t>Expósito Jiménez</t>
  </si>
  <si>
    <t>María José</t>
  </si>
  <si>
    <t>Fernández Dobla</t>
  </si>
  <si>
    <t>Elsa Fabiana</t>
  </si>
  <si>
    <t>Galarza Giménez</t>
  </si>
  <si>
    <t>Patricia</t>
  </si>
  <si>
    <t>Galera Gil</t>
  </si>
  <si>
    <t>Fátima María</t>
  </si>
  <si>
    <t>Gálvez Gómez</t>
  </si>
  <si>
    <t>José Manuel</t>
  </si>
  <si>
    <t>Gandullo García</t>
  </si>
  <si>
    <t>Teresa</t>
  </si>
  <si>
    <t>García Cobos</t>
  </si>
  <si>
    <t>Elizabeth</t>
  </si>
  <si>
    <t>García Del Valle</t>
  </si>
  <si>
    <t>Isidoro</t>
  </si>
  <si>
    <t>García Gómez</t>
  </si>
  <si>
    <t>Lucía María</t>
  </si>
  <si>
    <t>García Páez</t>
  </si>
  <si>
    <t>Alberto Manuel</t>
  </si>
  <si>
    <t>García Peña</t>
  </si>
  <si>
    <t>Yolanda</t>
  </si>
  <si>
    <t>Gómez Fernández</t>
  </si>
  <si>
    <t>María Araceli</t>
  </si>
  <si>
    <t>Gómez Merino</t>
  </si>
  <si>
    <t>Pablo</t>
  </si>
  <si>
    <t>Gómez Sánchez</t>
  </si>
  <si>
    <t>María Magdalena</t>
  </si>
  <si>
    <t>González Baraza</t>
  </si>
  <si>
    <t>Sergi</t>
  </si>
  <si>
    <t>Gorina Enrich</t>
  </si>
  <si>
    <t>Alejandro</t>
  </si>
  <si>
    <t>Guerrero Ruz</t>
  </si>
  <si>
    <t>Alba</t>
  </si>
  <si>
    <t>Gutiérrez Quintero</t>
  </si>
  <si>
    <t>José</t>
  </si>
  <si>
    <t>Heredia Leal</t>
  </si>
  <si>
    <t>Jesús</t>
  </si>
  <si>
    <t>Hernández García</t>
  </si>
  <si>
    <t>Hiraldo Ocaña</t>
  </si>
  <si>
    <t>Victoria</t>
  </si>
  <si>
    <t>Izquierdo Perea</t>
  </si>
  <si>
    <t>María del Carmen</t>
  </si>
  <si>
    <t>Jiménez Martínez</t>
  </si>
  <si>
    <t>Jiménez Pérez</t>
  </si>
  <si>
    <t>María Teresa</t>
  </si>
  <si>
    <t>Jiménez Pino</t>
  </si>
  <si>
    <t>José Carlos</t>
  </si>
  <si>
    <t>Lebrón García</t>
  </si>
  <si>
    <t>López García</t>
  </si>
  <si>
    <t>Beatriz</t>
  </si>
  <si>
    <t>Maldonado Martín</t>
  </si>
  <si>
    <t>Rubén</t>
  </si>
  <si>
    <t>Márquez Fajardo</t>
  </si>
  <si>
    <t>José Daniel</t>
  </si>
  <si>
    <t>Márquez Woo</t>
  </si>
  <si>
    <t>Elisabert</t>
  </si>
  <si>
    <t>Martín</t>
  </si>
  <si>
    <t>Lucía</t>
  </si>
  <si>
    <t>Martín-Andino García</t>
  </si>
  <si>
    <t>Francisco Javier</t>
  </si>
  <si>
    <t>Martínez Acevedo</t>
  </si>
  <si>
    <t>Francisco Manuel</t>
  </si>
  <si>
    <t>Martínez Cirera</t>
  </si>
  <si>
    <t>Mercedes</t>
  </si>
  <si>
    <t>Martínez Sánchez</t>
  </si>
  <si>
    <t>Ana Alicia</t>
  </si>
  <si>
    <t>Martín Sánchez</t>
  </si>
  <si>
    <t>Juana José</t>
  </si>
  <si>
    <t>Martos Rentero</t>
  </si>
  <si>
    <t>Elena</t>
  </si>
  <si>
    <t>Maté Mateos</t>
  </si>
  <si>
    <t>Evelin</t>
  </si>
  <si>
    <t>Mayorga Vera</t>
  </si>
  <si>
    <t>Sara</t>
  </si>
  <si>
    <t>Medina Salas</t>
  </si>
  <si>
    <t>Luis Manuel</t>
  </si>
  <si>
    <t>Meléndez Alonso</t>
  </si>
  <si>
    <t>Rocío</t>
  </si>
  <si>
    <t>Merino Gómez</t>
  </si>
  <si>
    <t>Auxiliadora</t>
  </si>
  <si>
    <t>Mesa Delgado</t>
  </si>
  <si>
    <t>María del Pilar</t>
  </si>
  <si>
    <t>Mesa Navío</t>
  </si>
  <si>
    <t>Milán Domínguez</t>
  </si>
  <si>
    <t>Samantha</t>
  </si>
  <si>
    <t>Miranda Moñino</t>
  </si>
  <si>
    <t>Neiva</t>
  </si>
  <si>
    <t>Molina Ocaña</t>
  </si>
  <si>
    <t>Molina Porlán</t>
  </si>
  <si>
    <t>Montero Ramírez</t>
  </si>
  <si>
    <t>Montes Morales</t>
  </si>
  <si>
    <t>Moreno Larrubia</t>
  </si>
  <si>
    <t>Moreno Morillo</t>
  </si>
  <si>
    <t>Oliva Bermúdez</t>
  </si>
  <si>
    <t>María Rosario</t>
  </si>
  <si>
    <t>Ortega Saldaña</t>
  </si>
  <si>
    <t>José Luis</t>
  </si>
  <si>
    <t>Ortiz Palacios</t>
  </si>
  <si>
    <t>Leticia</t>
  </si>
  <si>
    <t>Padial González</t>
  </si>
  <si>
    <t>Palacios Escalera</t>
  </si>
  <si>
    <t>María Dolores</t>
  </si>
  <si>
    <t>Pascual Martín</t>
  </si>
  <si>
    <t>Peral Martín</t>
  </si>
  <si>
    <t>Adela</t>
  </si>
  <si>
    <t>Peregrina Peregrina</t>
  </si>
  <si>
    <t>Manuel Jesús</t>
  </si>
  <si>
    <t>Pérez Cantón</t>
  </si>
  <si>
    <t>Pérez Martín</t>
  </si>
  <si>
    <t>Rosalinda</t>
  </si>
  <si>
    <t>Polo Cumbreras</t>
  </si>
  <si>
    <t>Pablo Gilberto</t>
  </si>
  <si>
    <t>Polo Jiménez</t>
  </si>
  <si>
    <t>Ana María</t>
  </si>
  <si>
    <t>Prieto Contreras</t>
  </si>
  <si>
    <t>Marcos</t>
  </si>
  <si>
    <t>Prieto Coronado</t>
  </si>
  <si>
    <t>Raquel</t>
  </si>
  <si>
    <t>Reyes López</t>
  </si>
  <si>
    <t>Reyes Rodríguez</t>
  </si>
  <si>
    <t>Daniel</t>
  </si>
  <si>
    <t>Rico Castillo</t>
  </si>
  <si>
    <t>Ríos Martín</t>
  </si>
  <si>
    <t>Baltasar</t>
  </si>
  <si>
    <t>Rodríguez Jiménez</t>
  </si>
  <si>
    <t>Rosa María</t>
  </si>
  <si>
    <t>Rodríguez Outón</t>
  </si>
  <si>
    <t>Rodríguez Roca</t>
  </si>
  <si>
    <t>Yanira</t>
  </si>
  <si>
    <t>Rojo González</t>
  </si>
  <si>
    <t>Juan Manuel</t>
  </si>
  <si>
    <t>Roldán De las Heras</t>
  </si>
  <si>
    <t>Romero Barrios</t>
  </si>
  <si>
    <t>Romero Torres</t>
  </si>
  <si>
    <t>Noelia Veróncia</t>
  </si>
  <si>
    <t>Ros Laynez</t>
  </si>
  <si>
    <t>María Belén</t>
  </si>
  <si>
    <t>Rubiales Salas</t>
  </si>
  <si>
    <t>Rubio De Madariaga</t>
  </si>
  <si>
    <t>Francisco David</t>
  </si>
  <si>
    <t>Rubio Sánchez</t>
  </si>
  <si>
    <t>Ruiz Contreras</t>
  </si>
  <si>
    <t>Blanca María</t>
  </si>
  <si>
    <t>Salces Mariscal</t>
  </si>
  <si>
    <t>Manoah Misael</t>
  </si>
  <si>
    <t>Sánchez Beas Pérez de Tudela</t>
  </si>
  <si>
    <t>Víctor Manuel</t>
  </si>
  <si>
    <t>Sánchez Jiménez</t>
  </si>
  <si>
    <t>Sánchez Muñoz</t>
  </si>
  <si>
    <t>Laura</t>
  </si>
  <si>
    <t>Segura García</t>
  </si>
  <si>
    <t>Serdobintseva</t>
  </si>
  <si>
    <t>Serrano Lara</t>
  </si>
  <si>
    <t>Silva Avilés</t>
  </si>
  <si>
    <t>Germán Duglas</t>
  </si>
  <si>
    <t>Soledispa Intriago</t>
  </si>
  <si>
    <t>Suviri Muñoz</t>
  </si>
  <si>
    <t>María de la Soledad</t>
  </si>
  <si>
    <t>Tellado Frías</t>
  </si>
  <si>
    <t>Jorge</t>
  </si>
  <si>
    <t>Vázquez Cotán</t>
  </si>
  <si>
    <t>Vera Ayala</t>
  </si>
  <si>
    <t>Villalba Chico</t>
  </si>
  <si>
    <t>Gabriela Katherine</t>
  </si>
  <si>
    <t>Wong Molero</t>
  </si>
  <si>
    <t>Zamora Moreno</t>
  </si>
  <si>
    <t>Zarco Linares</t>
  </si>
  <si>
    <t>nombre</t>
  </si>
  <si>
    <t>apellidos</t>
  </si>
  <si>
    <t>F</t>
  </si>
  <si>
    <t>23/3/2018</t>
  </si>
  <si>
    <t>TOTAL ANUAL</t>
  </si>
  <si>
    <t>MESES</t>
  </si>
  <si>
    <t>Ventas</t>
  </si>
  <si>
    <t>Subvenciones Públicas</t>
  </si>
  <si>
    <t>Total de entradas</t>
  </si>
  <si>
    <t>Proveedores</t>
  </si>
  <si>
    <t>Primas de seguros</t>
  </si>
  <si>
    <t>Salarios</t>
  </si>
  <si>
    <t>Seguridad Social</t>
  </si>
  <si>
    <t>Publicidad</t>
  </si>
  <si>
    <t>Total salidas</t>
  </si>
  <si>
    <t>Entradas -Salidas</t>
  </si>
  <si>
    <t>Saldo de Tesorería</t>
  </si>
  <si>
    <t>Compras de mobiliario</t>
  </si>
  <si>
    <t>importe</t>
  </si>
  <si>
    <t>periodicidad</t>
  </si>
  <si>
    <t>comienzo</t>
  </si>
  <si>
    <t>abril</t>
  </si>
  <si>
    <t>único</t>
  </si>
  <si>
    <t>otros</t>
  </si>
  <si>
    <t>enero</t>
  </si>
  <si>
    <t>mensual</t>
  </si>
  <si>
    <t xml:space="preserve">incremento de un 5% mensual hasta julio, agosto cerrado. Último cuatrimestre disminucion de un 10% mensual sobre los cobros de julio  </t>
  </si>
  <si>
    <t>mayo</t>
  </si>
  <si>
    <t>febrero</t>
  </si>
  <si>
    <t>trimestral</t>
  </si>
  <si>
    <t>marzo</t>
  </si>
  <si>
    <t>semestral</t>
  </si>
  <si>
    <t>incremento de un 3% mensual (excepto agosto cerrado)</t>
  </si>
  <si>
    <t>Pagos a HP</t>
  </si>
  <si>
    <t>trimenstral</t>
  </si>
  <si>
    <t>los pagos se entienden realizados el último dia del trimestre (En el 3º trimestre el pago es inferior, solo el 60% de los importes anteriores)</t>
  </si>
  <si>
    <t>bimensual</t>
  </si>
  <si>
    <t>en diciembre se realiza un pago adicional de 500 €</t>
  </si>
  <si>
    <t>Domiciliado</t>
  </si>
  <si>
    <t>Aceptación</t>
  </si>
  <si>
    <t>Comisión</t>
  </si>
  <si>
    <t>Sí</t>
  </si>
  <si>
    <t>No</t>
  </si>
  <si>
    <t>El Zapato Veloz</t>
  </si>
  <si>
    <t>Ecomovil</t>
  </si>
  <si>
    <t>Contramano</t>
  </si>
  <si>
    <t>concepto</t>
  </si>
  <si>
    <t xml:space="preserve">Nominal </t>
  </si>
  <si>
    <t xml:space="preserve">Emisión </t>
  </si>
  <si>
    <t>días desde la fecha</t>
  </si>
  <si>
    <t>días desde la vista</t>
  </si>
  <si>
    <t>Domiciliados y aceptados</t>
  </si>
  <si>
    <t>Domiciliados no aceptados</t>
  </si>
  <si>
    <t>No domiciliados y no aceptados</t>
  </si>
  <si>
    <t>TAE</t>
  </si>
  <si>
    <t>Datos del préstamo:</t>
  </si>
  <si>
    <t>Datos de la Inversión</t>
  </si>
  <si>
    <t>plazo devolución (meses)</t>
  </si>
  <si>
    <t>duración de la inverión (días)</t>
  </si>
  <si>
    <t>Tipo de efecto</t>
  </si>
  <si>
    <t>Correo</t>
  </si>
  <si>
    <t>Mínimo</t>
  </si>
  <si>
    <t>Equivalencia Financiera</t>
  </si>
  <si>
    <t>Vencimiento</t>
  </si>
  <si>
    <t>fecha constitución</t>
  </si>
  <si>
    <r>
      <t>C</t>
    </r>
    <r>
      <rPr>
        <vertAlign val="subscript"/>
        <sz val="12"/>
        <color theme="1"/>
        <rFont val="Calibri"/>
        <family val="2"/>
        <scheme val="minor"/>
      </rPr>
      <t>0</t>
    </r>
  </si>
  <si>
    <t>Tiempo</t>
  </si>
  <si>
    <t>tipo interés</t>
  </si>
  <si>
    <r>
      <t>i</t>
    </r>
    <r>
      <rPr>
        <vertAlign val="subscript"/>
        <sz val="12"/>
        <color theme="1"/>
        <rFont val="Calibri"/>
        <family val="2"/>
        <scheme val="minor"/>
      </rPr>
      <t>3</t>
    </r>
  </si>
  <si>
    <t>Pago 1º</t>
  </si>
  <si>
    <t>Pago 2º</t>
  </si>
  <si>
    <t>Pago 3º</t>
  </si>
  <si>
    <t>días</t>
  </si>
  <si>
    <r>
      <t>C</t>
    </r>
    <r>
      <rPr>
        <b/>
        <vertAlign val="subscript"/>
        <sz val="12"/>
        <color theme="4"/>
        <rFont val="Calibri"/>
        <family val="2"/>
        <scheme val="minor"/>
      </rPr>
      <t>n</t>
    </r>
  </si>
  <si>
    <r>
      <t>j</t>
    </r>
    <r>
      <rPr>
        <vertAlign val="subscript"/>
        <sz val="12"/>
        <color theme="1"/>
        <rFont val="Calibri"/>
        <family val="2"/>
        <scheme val="minor"/>
      </rPr>
      <t>3</t>
    </r>
  </si>
  <si>
    <t>meses</t>
  </si>
  <si>
    <r>
      <t>i</t>
    </r>
    <r>
      <rPr>
        <vertAlign val="subscript"/>
        <sz val="12"/>
        <color theme="1"/>
        <rFont val="Calibri"/>
        <family val="2"/>
        <scheme val="minor"/>
      </rPr>
      <t>4</t>
    </r>
  </si>
  <si>
    <t>años</t>
  </si>
  <si>
    <r>
      <t>j</t>
    </r>
    <r>
      <rPr>
        <vertAlign val="subscript"/>
        <sz val="12"/>
        <color theme="1"/>
        <rFont val="Calibri"/>
        <family val="2"/>
        <scheme val="minor"/>
      </rPr>
      <t>12</t>
    </r>
  </si>
  <si>
    <t>trimestres</t>
  </si>
  <si>
    <t>m</t>
  </si>
  <si>
    <t>n</t>
  </si>
  <si>
    <r>
      <t>j</t>
    </r>
    <r>
      <rPr>
        <vertAlign val="subscript"/>
        <sz val="12"/>
        <color theme="1"/>
        <rFont val="Calibri"/>
        <family val="2"/>
        <scheme val="minor"/>
      </rPr>
      <t>2</t>
    </r>
  </si>
  <si>
    <t>cuatrimestres</t>
  </si>
  <si>
    <r>
      <t>i</t>
    </r>
    <r>
      <rPr>
        <vertAlign val="subscript"/>
        <sz val="12"/>
        <color theme="1"/>
        <rFont val="Calibri"/>
        <family val="2"/>
        <scheme val="minor"/>
      </rPr>
      <t>6</t>
    </r>
  </si>
  <si>
    <t>Capitalización compuesta</t>
  </si>
  <si>
    <t>Nominal del efecto</t>
  </si>
  <si>
    <t>Emisión de la letra</t>
  </si>
  <si>
    <t>Fecha de negociación en la entidad financiera</t>
  </si>
  <si>
    <t>Vencimiento de la letra</t>
  </si>
  <si>
    <t>Fecha del vencimiento</t>
  </si>
  <si>
    <t>Días hasta el vencimiento</t>
  </si>
  <si>
    <t>Tipo de descuento</t>
  </si>
  <si>
    <t xml:space="preserve">Importe del descuento </t>
  </si>
  <si>
    <t>Efectivo a recibir</t>
  </si>
  <si>
    <t>Librado</t>
  </si>
  <si>
    <t>Hasta 40 días</t>
  </si>
  <si>
    <t>De 41 a 80 días</t>
  </si>
  <si>
    <t xml:space="preserve">De 81 a 120 días </t>
  </si>
  <si>
    <r>
      <t>interés nominal (j</t>
    </r>
    <r>
      <rPr>
        <b/>
        <vertAlign val="subscript"/>
        <sz val="11"/>
        <color theme="4"/>
        <rFont val="Calibri"/>
        <family val="2"/>
        <scheme val="minor"/>
      </rPr>
      <t>4</t>
    </r>
    <r>
      <rPr>
        <b/>
        <sz val="11"/>
        <color theme="4"/>
        <rFont val="Calibri"/>
        <family val="2"/>
        <scheme val="minor"/>
      </rPr>
      <t>)</t>
    </r>
  </si>
  <si>
    <t>i efectivo  anual equivalente</t>
  </si>
  <si>
    <t>préstamo solicitado</t>
  </si>
  <si>
    <t>Dev. de préstamos</t>
  </si>
  <si>
    <t>Alquileres recibidos</t>
  </si>
  <si>
    <t>ENTRADAS (cobros)</t>
  </si>
  <si>
    <t>SALIDAS (pagos)</t>
  </si>
  <si>
    <t>Letra de cambio</t>
  </si>
  <si>
    <t>CONDICIONES GENERALES</t>
  </si>
  <si>
    <t>Importe</t>
  </si>
  <si>
    <t>comisión apertura</t>
  </si>
  <si>
    <r>
      <t>interés fraccionado (i</t>
    </r>
    <r>
      <rPr>
        <b/>
        <vertAlign val="subscript"/>
        <sz val="11"/>
        <color theme="4"/>
        <rFont val="Calibri"/>
        <family val="2"/>
        <scheme val="minor"/>
      </rPr>
      <t>4</t>
    </r>
    <r>
      <rPr>
        <b/>
        <sz val="11"/>
        <color theme="4"/>
        <rFont val="Calibri"/>
        <family val="2"/>
        <scheme val="minor"/>
      </rPr>
      <t>)</t>
    </r>
  </si>
  <si>
    <t>Descuento de efectos comerciales</t>
  </si>
  <si>
    <t>Presupuesto de Tesorería</t>
  </si>
  <si>
    <t>en los meses de julio y diciembre el pago será doble por la extra.</t>
  </si>
  <si>
    <t>Interes efectivo anual</t>
  </si>
  <si>
    <t>i/j</t>
  </si>
  <si>
    <t>%</t>
  </si>
  <si>
    <t>Interés</t>
  </si>
  <si>
    <t>PRESUPUESTO DE TESORERÍA</t>
  </si>
  <si>
    <t>PARTIDAS</t>
  </si>
  <si>
    <r>
      <t>C</t>
    </r>
    <r>
      <rPr>
        <b/>
        <vertAlign val="subscript"/>
        <sz val="12"/>
        <color theme="4"/>
        <rFont val="Calibri"/>
        <family val="2"/>
        <scheme val="minor"/>
      </rPr>
      <t>o</t>
    </r>
  </si>
  <si>
    <t>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</si>
</sst>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.00_ ;[Red]\-#,##0.00\ "/>
    <numFmt numFmtId="166" formatCode="dd\-mm\-yy;@"/>
    <numFmt numFmtId="167" formatCode="_-* #,##0\ _€_-;\-* #,##0\ _€_-;_-* &quot;-&quot;??\ _€_-;_-@_-"/>
    <numFmt numFmtId="168" formatCode="mm:ss.0;@"/>
  </numFmts>
  <fonts count="33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theme="1"/>
      <name val="Tahoma"/>
      <family val="2"/>
    </font>
    <font>
      <sz val="2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3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48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8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vertAlign val="subscript"/>
      <sz val="12"/>
      <color theme="4"/>
      <name val="Calibri"/>
      <family val="2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365F91"/>
      <name val="Calibri"/>
      <family val="2"/>
      <scheme val="minor"/>
    </font>
    <font>
      <sz val="11"/>
      <color rgb="FF365F9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vertAlign val="subscript"/>
      <sz val="11"/>
      <color theme="4"/>
      <name val="Calibri"/>
      <family val="2"/>
      <scheme val="minor"/>
    </font>
    <font>
      <sz val="1"/>
      <color theme="0"/>
      <name val="Calibri"/>
      <family val="2"/>
      <charset val="238"/>
      <scheme val="minor"/>
    </font>
    <font>
      <sz val="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C6EFCE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</cellStyleXfs>
  <cellXfs count="184">
    <xf numFmtId="0" fontId="0" fillId="0" borderId="0" xfId="0"/>
    <xf numFmtId="0" fontId="0" fillId="0" borderId="0" xfId="0" applyFill="1" applyProtection="1">
      <protection hidden="1"/>
    </xf>
    <xf numFmtId="49" fontId="5" fillId="0" borderId="0" xfId="0" applyNumberFormat="1" applyFont="1" applyFill="1" applyProtection="1">
      <protection hidden="1"/>
    </xf>
    <xf numFmtId="1" fontId="0" fillId="0" borderId="0" xfId="0" applyNumberFormat="1" applyFill="1" applyProtection="1">
      <protection hidden="1"/>
    </xf>
    <xf numFmtId="0" fontId="0" fillId="0" borderId="0" xfId="0" applyNumberForma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Protection="1">
      <protection hidden="1"/>
    </xf>
    <xf numFmtId="0" fontId="6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vertical="distributed" wrapText="1"/>
      <protection hidden="1"/>
    </xf>
    <xf numFmtId="0" fontId="8" fillId="0" borderId="0" xfId="0" applyFont="1" applyFill="1" applyProtection="1">
      <protection hidden="1"/>
    </xf>
    <xf numFmtId="0" fontId="9" fillId="2" borderId="6" xfId="0" applyFont="1" applyFill="1" applyBorder="1" applyAlignment="1" applyProtection="1">
      <alignment vertical="center"/>
      <protection hidden="1"/>
    </xf>
    <xf numFmtId="0" fontId="10" fillId="3" borderId="6" xfId="0" applyNumberFormat="1" applyFont="1" applyFill="1" applyBorder="1" applyAlignment="1" applyProtection="1">
      <alignment horizontal="center"/>
      <protection locked="0"/>
    </xf>
    <xf numFmtId="0" fontId="0" fillId="0" borderId="1" xfId="0" applyBorder="1"/>
    <xf numFmtId="0" fontId="13" fillId="0" borderId="0" xfId="0" applyFont="1"/>
    <xf numFmtId="0" fontId="0" fillId="4" borderId="0" xfId="0" applyFill="1"/>
    <xf numFmtId="0" fontId="0" fillId="5" borderId="5" xfId="0" applyFill="1" applyBorder="1" applyAlignment="1">
      <alignment horizontal="center"/>
    </xf>
    <xf numFmtId="165" fontId="0" fillId="0" borderId="1" xfId="0" applyNumberFormat="1" applyBorder="1"/>
    <xf numFmtId="0" fontId="15" fillId="6" borderId="1" xfId="0" applyFont="1" applyFill="1" applyBorder="1"/>
    <xf numFmtId="165" fontId="4" fillId="6" borderId="1" xfId="0" applyNumberFormat="1" applyFont="1" applyFill="1" applyBorder="1"/>
    <xf numFmtId="0" fontId="15" fillId="5" borderId="1" xfId="0" applyFont="1" applyFill="1" applyBorder="1"/>
    <xf numFmtId="165" fontId="4" fillId="5" borderId="1" xfId="0" applyNumberFormat="1" applyFont="1" applyFill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NumberFormat="1"/>
    <xf numFmtId="164" fontId="0" fillId="0" borderId="0" xfId="0" applyNumberFormat="1"/>
    <xf numFmtId="0" fontId="0" fillId="0" borderId="0" xfId="0" applyNumberFormat="1" applyAlignment="1">
      <alignment horizontal="right"/>
    </xf>
    <xf numFmtId="10" fontId="0" fillId="0" borderId="0" xfId="4" applyNumberFormat="1" applyFont="1"/>
    <xf numFmtId="10" fontId="0" fillId="0" borderId="0" xfId="0" applyNumberFormat="1"/>
    <xf numFmtId="166" fontId="0" fillId="0" borderId="0" xfId="0" applyNumberFormat="1" applyAlignment="1">
      <alignment horizontal="center"/>
    </xf>
    <xf numFmtId="165" fontId="0" fillId="5" borderId="1" xfId="0" applyNumberFormat="1" applyFill="1" applyBorder="1"/>
    <xf numFmtId="165" fontId="15" fillId="5" borderId="1" xfId="0" applyNumberFormat="1" applyFont="1" applyFill="1" applyBorder="1"/>
    <xf numFmtId="0" fontId="15" fillId="4" borderId="4" xfId="0" applyFont="1" applyFill="1" applyBorder="1"/>
    <xf numFmtId="165" fontId="4" fillId="4" borderId="2" xfId="0" applyNumberFormat="1" applyFont="1" applyFill="1" applyBorder="1"/>
    <xf numFmtId="165" fontId="15" fillId="4" borderId="3" xfId="0" applyNumberFormat="1" applyFont="1" applyFill="1" applyBorder="1"/>
    <xf numFmtId="0" fontId="0" fillId="0" borderId="0" xfId="0" applyProtection="1">
      <protection locked="0"/>
    </xf>
    <xf numFmtId="0" fontId="26" fillId="7" borderId="12" xfId="0" applyFont="1" applyFill="1" applyBorder="1" applyAlignment="1">
      <alignment horizontal="center" vertical="center" wrapText="1"/>
    </xf>
    <xf numFmtId="14" fontId="29" fillId="6" borderId="1" xfId="5" applyNumberFormat="1" applyFont="1" applyFill="1" applyBorder="1" applyProtection="1">
      <protection locked="0"/>
    </xf>
    <xf numFmtId="164" fontId="29" fillId="6" borderId="1" xfId="5" applyNumberFormat="1" applyFont="1" applyFill="1" applyBorder="1" applyProtection="1">
      <protection locked="0"/>
    </xf>
    <xf numFmtId="0" fontId="18" fillId="0" borderId="0" xfId="0" applyFont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1" xfId="0" applyNumberFormat="1" applyBorder="1" applyAlignment="1">
      <alignment horizontal="right"/>
    </xf>
    <xf numFmtId="10" fontId="0" fillId="0" borderId="1" xfId="4" applyNumberFormat="1" applyFont="1" applyBorder="1"/>
    <xf numFmtId="0" fontId="0" fillId="0" borderId="1" xfId="0" applyNumberFormat="1" applyBorder="1"/>
    <xf numFmtId="10" fontId="0" fillId="0" borderId="1" xfId="0" applyNumberForma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" fontId="0" fillId="0" borderId="1" xfId="0" applyNumberFormat="1" applyBorder="1"/>
    <xf numFmtId="0" fontId="15" fillId="5" borderId="4" xfId="0" applyFont="1" applyFill="1" applyBorder="1" applyAlignment="1"/>
    <xf numFmtId="0" fontId="26" fillId="7" borderId="37" xfId="0" applyFont="1" applyFill="1" applyBorder="1" applyAlignment="1">
      <alignment horizontal="center" vertical="center" wrapText="1"/>
    </xf>
    <xf numFmtId="0" fontId="26" fillId="7" borderId="40" xfId="0" applyFont="1" applyFill="1" applyBorder="1" applyAlignment="1">
      <alignment horizontal="center" vertical="center" wrapText="1"/>
    </xf>
    <xf numFmtId="164" fontId="29" fillId="6" borderId="41" xfId="5" applyNumberFormat="1" applyFont="1" applyFill="1" applyBorder="1" applyProtection="1">
      <protection locked="0"/>
    </xf>
    <xf numFmtId="164" fontId="27" fillId="0" borderId="1" xfId="0" applyNumberFormat="1" applyFont="1" applyFill="1" applyBorder="1" applyAlignment="1" applyProtection="1">
      <alignment vertical="center" wrapText="1"/>
      <protection hidden="1"/>
    </xf>
    <xf numFmtId="14" fontId="27" fillId="0" borderId="1" xfId="0" applyNumberFormat="1" applyFont="1" applyFill="1" applyBorder="1" applyAlignment="1" applyProtection="1">
      <alignment vertical="center" wrapText="1"/>
      <protection hidden="1"/>
    </xf>
    <xf numFmtId="1" fontId="29" fillId="6" borderId="1" xfId="5" applyNumberFormat="1" applyFont="1" applyFill="1" applyBorder="1" applyProtection="1">
      <protection locked="0"/>
    </xf>
    <xf numFmtId="10" fontId="29" fillId="6" borderId="1" xfId="5" applyNumberFormat="1" applyFont="1" applyFill="1" applyBorder="1" applyAlignment="1" applyProtection="1">
      <alignment horizontal="right"/>
      <protection locked="0"/>
    </xf>
    <xf numFmtId="164" fontId="27" fillId="0" borderId="18" xfId="0" applyNumberFormat="1" applyFont="1" applyFill="1" applyBorder="1" applyAlignment="1" applyProtection="1">
      <alignment vertical="center" wrapText="1"/>
      <protection hidden="1"/>
    </xf>
    <xf numFmtId="164" fontId="29" fillId="6" borderId="22" xfId="5" applyNumberFormat="1" applyFont="1" applyFill="1" applyBorder="1" applyProtection="1">
      <protection locked="0"/>
    </xf>
    <xf numFmtId="164" fontId="27" fillId="0" borderId="19" xfId="0" applyNumberFormat="1" applyFont="1" applyFill="1" applyBorder="1" applyAlignment="1" applyProtection="1">
      <alignment vertical="center" wrapText="1"/>
      <protection hidden="1"/>
    </xf>
    <xf numFmtId="164" fontId="27" fillId="0" borderId="23" xfId="0" applyNumberFormat="1" applyFont="1" applyFill="1" applyBorder="1" applyAlignment="1" applyProtection="1">
      <alignment vertical="center" wrapText="1"/>
      <protection hidden="1"/>
    </xf>
    <xf numFmtId="14" fontId="27" fillId="0" borderId="23" xfId="0" applyNumberFormat="1" applyFont="1" applyFill="1" applyBorder="1" applyAlignment="1" applyProtection="1">
      <alignment vertical="center" wrapText="1"/>
      <protection hidden="1"/>
    </xf>
    <xf numFmtId="164" fontId="27" fillId="0" borderId="23" xfId="0" applyNumberFormat="1" applyFont="1" applyFill="1" applyBorder="1" applyAlignment="1" applyProtection="1">
      <alignment horizontal="right" vertical="center" wrapText="1"/>
      <protection hidden="1"/>
    </xf>
    <xf numFmtId="14" fontId="29" fillId="6" borderId="23" xfId="5" applyNumberFormat="1" applyFont="1" applyFill="1" applyBorder="1" applyProtection="1">
      <protection locked="0"/>
    </xf>
    <xf numFmtId="1" fontId="29" fillId="6" borderId="23" xfId="5" applyNumberFormat="1" applyFont="1" applyFill="1" applyBorder="1" applyProtection="1">
      <protection locked="0"/>
    </xf>
    <xf numFmtId="10" fontId="29" fillId="6" borderId="23" xfId="5" applyNumberFormat="1" applyFont="1" applyFill="1" applyBorder="1" applyAlignment="1" applyProtection="1">
      <alignment horizontal="right"/>
      <protection locked="0"/>
    </xf>
    <xf numFmtId="164" fontId="29" fillId="6" borderId="23" xfId="5" applyNumberFormat="1" applyFont="1" applyFill="1" applyBorder="1" applyProtection="1">
      <protection locked="0"/>
    </xf>
    <xf numFmtId="164" fontId="29" fillId="6" borderId="24" xfId="5" applyNumberFormat="1" applyFont="1" applyFill="1" applyBorder="1" applyProtection="1">
      <protection locked="0"/>
    </xf>
    <xf numFmtId="0" fontId="27" fillId="0" borderId="4" xfId="0" applyNumberFormat="1" applyFont="1" applyFill="1" applyBorder="1" applyAlignment="1" applyProtection="1">
      <alignment vertical="center" wrapText="1"/>
      <protection hidden="1"/>
    </xf>
    <xf numFmtId="14" fontId="27" fillId="0" borderId="3" xfId="0" applyNumberFormat="1" applyFont="1" applyFill="1" applyBorder="1" applyAlignment="1" applyProtection="1">
      <alignment vertical="center" wrapText="1"/>
      <protection hidden="1"/>
    </xf>
    <xf numFmtId="0" fontId="27" fillId="0" borderId="42" xfId="0" applyNumberFormat="1" applyFont="1" applyFill="1" applyBorder="1" applyAlignment="1" applyProtection="1">
      <alignment vertical="center" wrapText="1"/>
      <protection hidden="1"/>
    </xf>
    <xf numFmtId="14" fontId="27" fillId="0" borderId="43" xfId="0" applyNumberFormat="1" applyFont="1" applyFill="1" applyBorder="1" applyAlignment="1" applyProtection="1">
      <alignment vertical="center" wrapText="1"/>
      <protection hidden="1"/>
    </xf>
    <xf numFmtId="0" fontId="17" fillId="0" borderId="0" xfId="0" applyFont="1" applyProtection="1">
      <protection hidden="1"/>
    </xf>
    <xf numFmtId="0" fontId="0" fillId="0" borderId="0" xfId="0" applyProtection="1">
      <protection hidden="1"/>
    </xf>
    <xf numFmtId="0" fontId="13" fillId="0" borderId="0" xfId="0" applyFont="1" applyProtection="1"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66" fontId="0" fillId="0" borderId="1" xfId="0" applyNumberFormat="1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1" xfId="0" applyNumberFormat="1" applyBorder="1" applyAlignment="1" applyProtection="1">
      <alignment horizontal="right"/>
      <protection hidden="1"/>
    </xf>
    <xf numFmtId="10" fontId="0" fillId="0" borderId="1" xfId="4" applyNumberFormat="1" applyFont="1" applyBorder="1" applyProtection="1">
      <protection hidden="1"/>
    </xf>
    <xf numFmtId="0" fontId="0" fillId="0" borderId="1" xfId="0" applyNumberFormat="1" applyBorder="1" applyProtection="1">
      <protection hidden="1"/>
    </xf>
    <xf numFmtId="0" fontId="22" fillId="0" borderId="0" xfId="0" applyFont="1" applyProtection="1">
      <protection hidden="1"/>
    </xf>
    <xf numFmtId="10" fontId="16" fillId="0" borderId="1" xfId="0" applyNumberFormat="1" applyFont="1" applyBorder="1" applyProtection="1">
      <protection hidden="1"/>
    </xf>
    <xf numFmtId="10" fontId="0" fillId="0" borderId="1" xfId="0" applyNumberFormat="1" applyBorder="1" applyProtection="1">
      <protection hidden="1"/>
    </xf>
    <xf numFmtId="0" fontId="16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0" fillId="0" borderId="1" xfId="0" applyFont="1" applyBorder="1" applyProtection="1">
      <protection hidden="1"/>
    </xf>
    <xf numFmtId="164" fontId="0" fillId="0" borderId="4" xfId="0" applyNumberFormat="1" applyFont="1" applyBorder="1" applyProtection="1">
      <protection hidden="1"/>
    </xf>
    <xf numFmtId="0" fontId="0" fillId="0" borderId="2" xfId="0" applyFont="1" applyBorder="1" applyProtection="1">
      <protection hidden="1"/>
    </xf>
    <xf numFmtId="0" fontId="13" fillId="0" borderId="2" xfId="0" applyFont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25" fillId="0" borderId="2" xfId="0" applyFont="1" applyBorder="1" applyProtection="1">
      <protection hidden="1"/>
    </xf>
    <xf numFmtId="0" fontId="18" fillId="0" borderId="16" xfId="0" applyFont="1" applyBorder="1" applyProtection="1">
      <protection hidden="1"/>
    </xf>
    <xf numFmtId="0" fontId="18" fillId="0" borderId="8" xfId="0" applyFont="1" applyBorder="1" applyProtection="1">
      <protection hidden="1"/>
    </xf>
    <xf numFmtId="0" fontId="18" fillId="0" borderId="8" xfId="0" applyFont="1" applyBorder="1" applyAlignment="1" applyProtection="1">
      <protection hidden="1"/>
    </xf>
    <xf numFmtId="0" fontId="0" fillId="0" borderId="18" xfId="0" applyBorder="1" applyProtection="1">
      <protection hidden="1"/>
    </xf>
    <xf numFmtId="164" fontId="16" fillId="0" borderId="1" xfId="0" applyNumberFormat="1" applyFont="1" applyBorder="1" applyProtection="1">
      <protection hidden="1"/>
    </xf>
    <xf numFmtId="14" fontId="16" fillId="0" borderId="1" xfId="0" applyNumberFormat="1" applyFont="1" applyBorder="1" applyProtection="1"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16" fillId="0" borderId="1" xfId="0" applyFont="1" applyBorder="1" applyProtection="1">
      <protection hidden="1"/>
    </xf>
    <xf numFmtId="0" fontId="13" fillId="0" borderId="22" xfId="0" applyFont="1" applyBorder="1" applyProtection="1">
      <protection hidden="1"/>
    </xf>
    <xf numFmtId="10" fontId="16" fillId="0" borderId="1" xfId="4" applyNumberFormat="1" applyFont="1" applyBorder="1" applyAlignment="1" applyProtection="1">
      <alignment horizontal="center"/>
      <protection hidden="1"/>
    </xf>
    <xf numFmtId="44" fontId="16" fillId="0" borderId="1" xfId="3" applyFont="1" applyBorder="1" applyProtection="1">
      <protection hidden="1"/>
    </xf>
    <xf numFmtId="10" fontId="16" fillId="0" borderId="22" xfId="4" applyNumberFormat="1" applyFont="1" applyBorder="1" applyProtection="1">
      <protection hidden="1"/>
    </xf>
    <xf numFmtId="1" fontId="16" fillId="0" borderId="1" xfId="0" applyNumberFormat="1" applyFont="1" applyBorder="1" applyProtection="1">
      <protection hidden="1"/>
    </xf>
    <xf numFmtId="0" fontId="0" fillId="0" borderId="19" xfId="0" applyBorder="1" applyProtection="1">
      <protection hidden="1"/>
    </xf>
    <xf numFmtId="164" fontId="16" fillId="0" borderId="23" xfId="0" applyNumberFormat="1" applyFont="1" applyBorder="1" applyProtection="1">
      <protection hidden="1"/>
    </xf>
    <xf numFmtId="14" fontId="16" fillId="0" borderId="23" xfId="0" applyNumberFormat="1" applyFont="1" applyBorder="1" applyProtection="1">
      <protection hidden="1"/>
    </xf>
    <xf numFmtId="0" fontId="16" fillId="0" borderId="23" xfId="0" applyFont="1" applyBorder="1" applyAlignment="1" applyProtection="1">
      <alignment horizontal="center"/>
      <protection hidden="1"/>
    </xf>
    <xf numFmtId="0" fontId="16" fillId="0" borderId="23" xfId="0" applyFont="1" applyBorder="1" applyProtection="1">
      <protection hidden="1"/>
    </xf>
    <xf numFmtId="10" fontId="16" fillId="0" borderId="23" xfId="4" applyNumberFormat="1" applyFont="1" applyBorder="1" applyAlignment="1" applyProtection="1">
      <alignment horizontal="center"/>
      <protection hidden="1"/>
    </xf>
    <xf numFmtId="44" fontId="16" fillId="0" borderId="23" xfId="3" applyFont="1" applyBorder="1" applyProtection="1">
      <protection hidden="1"/>
    </xf>
    <xf numFmtId="10" fontId="16" fillId="0" borderId="24" xfId="4" applyNumberFormat="1" applyFont="1" applyBorder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wrapText="1"/>
      <protection hidden="1"/>
    </xf>
    <xf numFmtId="0" fontId="0" fillId="0" borderId="16" xfId="0" applyBorder="1" applyProtection="1">
      <protection hidden="1"/>
    </xf>
    <xf numFmtId="164" fontId="16" fillId="0" borderId="13" xfId="0" applyNumberFormat="1" applyFont="1" applyBorder="1" applyProtection="1">
      <protection hidden="1"/>
    </xf>
    <xf numFmtId="0" fontId="19" fillId="0" borderId="0" xfId="0" applyFont="1" applyProtection="1">
      <protection hidden="1"/>
    </xf>
    <xf numFmtId="164" fontId="16" fillId="0" borderId="4" xfId="0" applyNumberFormat="1" applyFont="1" applyBorder="1" applyProtection="1">
      <protection hidden="1"/>
    </xf>
    <xf numFmtId="164" fontId="16" fillId="0" borderId="42" xfId="0" applyNumberFormat="1" applyFont="1" applyBorder="1" applyProtection="1">
      <protection hidden="1"/>
    </xf>
    <xf numFmtId="0" fontId="20" fillId="0" borderId="28" xfId="0" applyFont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20" fillId="0" borderId="30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43" fontId="0" fillId="0" borderId="10" xfId="1" applyFont="1" applyBorder="1" applyProtection="1">
      <protection hidden="1"/>
    </xf>
    <xf numFmtId="10" fontId="16" fillId="0" borderId="28" xfId="4" applyNumberFormat="1" applyFont="1" applyBorder="1" applyProtection="1">
      <protection hidden="1"/>
    </xf>
    <xf numFmtId="10" fontId="16" fillId="0" borderId="29" xfId="4" applyNumberFormat="1" applyFont="1" applyBorder="1" applyProtection="1">
      <protection hidden="1"/>
    </xf>
    <xf numFmtId="10" fontId="16" fillId="0" borderId="20" xfId="4" applyNumberFormat="1" applyFont="1" applyBorder="1" applyProtection="1">
      <protection hidden="1"/>
    </xf>
    <xf numFmtId="167" fontId="16" fillId="0" borderId="21" xfId="1" applyNumberFormat="1" applyFont="1" applyBorder="1" applyProtection="1">
      <protection hidden="1"/>
    </xf>
    <xf numFmtId="16" fontId="0" fillId="0" borderId="0" xfId="0" applyNumberFormat="1" applyProtection="1">
      <protection hidden="1"/>
    </xf>
    <xf numFmtId="0" fontId="32" fillId="0" borderId="0" xfId="0" applyFont="1" applyProtection="1">
      <protection hidden="1"/>
    </xf>
    <xf numFmtId="1" fontId="16" fillId="0" borderId="29" xfId="0" applyNumberFormat="1" applyFont="1" applyBorder="1" applyAlignment="1" applyProtection="1">
      <alignment horizontal="center"/>
      <protection hidden="1"/>
    </xf>
    <xf numFmtId="168" fontId="31" fillId="0" borderId="1" xfId="0" applyNumberFormat="1" applyFont="1" applyBorder="1" applyProtection="1">
      <protection hidden="1"/>
    </xf>
    <xf numFmtId="168" fontId="31" fillId="0" borderId="1" xfId="4" applyNumberFormat="1" applyFont="1" applyBorder="1" applyProtection="1">
      <protection hidden="1"/>
    </xf>
    <xf numFmtId="168" fontId="31" fillId="0" borderId="0" xfId="0" applyNumberFormat="1" applyFont="1" applyBorder="1" applyProtection="1"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1" fillId="2" borderId="6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horizontal="justify" vertical="distributed" wrapTex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4" fontId="16" fillId="0" borderId="23" xfId="0" applyNumberFormat="1" applyFont="1" applyBorder="1" applyAlignment="1" applyProtection="1">
      <alignment horizontal="center"/>
      <protection hidden="1"/>
    </xf>
    <xf numFmtId="14" fontId="16" fillId="0" borderId="24" xfId="0" applyNumberFormat="1" applyFont="1" applyBorder="1" applyAlignment="1" applyProtection="1">
      <alignment horizontal="center"/>
      <protection hidden="1"/>
    </xf>
    <xf numFmtId="0" fontId="18" fillId="0" borderId="7" xfId="0" applyFont="1" applyBorder="1" applyAlignment="1" applyProtection="1">
      <alignment horizontal="center"/>
      <protection hidden="1"/>
    </xf>
    <xf numFmtId="0" fontId="18" fillId="0" borderId="8" xfId="0" applyFont="1" applyBorder="1" applyAlignment="1" applyProtection="1">
      <alignment horizontal="center"/>
      <protection hidden="1"/>
    </xf>
    <xf numFmtId="0" fontId="18" fillId="0" borderId="9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/>
      <protection hidden="1"/>
    </xf>
    <xf numFmtId="0" fontId="18" fillId="0" borderId="26" xfId="0" applyFont="1" applyBorder="1" applyAlignment="1" applyProtection="1">
      <alignment horizontal="center"/>
      <protection hidden="1"/>
    </xf>
    <xf numFmtId="0" fontId="18" fillId="0" borderId="27" xfId="0" applyFont="1" applyBorder="1" applyAlignment="1" applyProtection="1">
      <alignment horizontal="center"/>
      <protection hidden="1"/>
    </xf>
    <xf numFmtId="0" fontId="18" fillId="0" borderId="14" xfId="0" applyFont="1" applyBorder="1" applyAlignment="1" applyProtection="1">
      <alignment horizontal="left"/>
      <protection hidden="1"/>
    </xf>
    <xf numFmtId="0" fontId="18" fillId="0" borderId="17" xfId="0" applyFont="1" applyBorder="1" applyAlignment="1" applyProtection="1">
      <alignment horizontal="left"/>
      <protection hidden="1"/>
    </xf>
    <xf numFmtId="0" fontId="18" fillId="0" borderId="11" xfId="0" applyFont="1" applyBorder="1" applyAlignment="1" applyProtection="1">
      <alignment horizontal="left"/>
      <protection hidden="1"/>
    </xf>
    <xf numFmtId="0" fontId="18" fillId="0" borderId="13" xfId="0" applyFont="1" applyBorder="1" applyAlignment="1" applyProtection="1">
      <alignment horizontal="center"/>
      <protection hidden="1"/>
    </xf>
    <xf numFmtId="0" fontId="18" fillId="0" borderId="15" xfId="0" applyFont="1" applyBorder="1" applyAlignment="1" applyProtection="1">
      <alignment horizontal="center"/>
      <protection hidden="1"/>
    </xf>
    <xf numFmtId="0" fontId="18" fillId="0" borderId="25" xfId="0" applyFont="1" applyBorder="1" applyAlignment="1" applyProtection="1">
      <alignment horizontal="center" vertical="center" wrapText="1"/>
      <protection hidden="1"/>
    </xf>
    <xf numFmtId="0" fontId="18" fillId="0" borderId="27" xfId="0" applyFont="1" applyBorder="1" applyAlignment="1" applyProtection="1">
      <alignment horizontal="center" vertical="center" wrapText="1"/>
      <protection hidden="1"/>
    </xf>
    <xf numFmtId="14" fontId="16" fillId="0" borderId="17" xfId="0" applyNumberFormat="1" applyFont="1" applyBorder="1" applyAlignment="1" applyProtection="1">
      <alignment horizontal="center"/>
      <protection hidden="1"/>
    </xf>
    <xf numFmtId="14" fontId="16" fillId="0" borderId="15" xfId="0" applyNumberFormat="1" applyFont="1" applyBorder="1" applyAlignment="1" applyProtection="1">
      <alignment horizontal="center"/>
      <protection hidden="1"/>
    </xf>
    <xf numFmtId="14" fontId="16" fillId="0" borderId="2" xfId="0" applyNumberFormat="1" applyFont="1" applyBorder="1" applyAlignment="1" applyProtection="1">
      <alignment horizontal="center"/>
      <protection hidden="1"/>
    </xf>
    <xf numFmtId="14" fontId="16" fillId="0" borderId="44" xfId="0" applyNumberFormat="1" applyFont="1" applyBorder="1" applyAlignment="1" applyProtection="1">
      <alignment horizontal="center"/>
      <protection hidden="1"/>
    </xf>
    <xf numFmtId="14" fontId="16" fillId="0" borderId="45" xfId="0" applyNumberFormat="1" applyFont="1" applyBorder="1" applyAlignment="1" applyProtection="1">
      <alignment horizontal="center"/>
      <protection hidden="1"/>
    </xf>
    <xf numFmtId="14" fontId="16" fillId="0" borderId="46" xfId="0" applyNumberFormat="1" applyFont="1" applyBorder="1" applyAlignment="1" applyProtection="1">
      <alignment horizontal="center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18" fillId="0" borderId="26" xfId="0" applyFont="1" applyBorder="1" applyAlignment="1" applyProtection="1">
      <alignment horizontal="center" vertical="center" wrapText="1"/>
      <protection hidden="1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/>
    </xf>
    <xf numFmtId="0" fontId="15" fillId="5" borderId="3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26" fillId="7" borderId="38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 wrapText="1"/>
    </xf>
  </cellXfs>
  <cellStyles count="6">
    <cellStyle name="Bueno" xfId="5" builtinId="26"/>
    <cellStyle name="Millares" xfId="1" builtinId="3"/>
    <cellStyle name="Moneda" xfId="3" builtinId="4"/>
    <cellStyle name="Normal" xfId="0" builtinId="0"/>
    <cellStyle name="Normal 3" xfId="2"/>
    <cellStyle name="Porcentaje" xfId="4" builtinId="5"/>
  </cellStyles>
  <dxfs count="7">
    <dxf>
      <font>
        <color theme="0"/>
      </font>
    </dxf>
    <dxf>
      <font>
        <color theme="3"/>
      </font>
      <fill>
        <patternFill>
          <bgColor theme="3"/>
        </patternFill>
      </fill>
    </dxf>
    <dxf>
      <fill>
        <patternFill>
          <bgColor rgb="FF0070C0"/>
        </patternFill>
      </fill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4" tint="-0.24994659260841701"/>
      </font>
      <fill>
        <patternFill patternType="none">
          <bgColor auto="1"/>
        </patternFill>
      </fill>
      <border>
        <left/>
        <right/>
        <top/>
        <bottom style="thin">
          <color theme="2"/>
        </bottom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Billing Invoice" pivot="0" count="4">
      <tableStyleElement type="wholeTable" dxfId="6"/>
      <tableStyleElement type="headerRow" dxfId="5"/>
      <tableStyleElement type="totalRow" dxfId="4"/>
      <tableStyleElement type="first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1038225</xdr:colOff>
      <xdr:row>2</xdr:row>
      <xdr:rowOff>104775</xdr:rowOff>
    </xdr:from>
    <xdr:to>
      <xdr:col>5</xdr:col>
      <xdr:colOff>19050</xdr:colOff>
      <xdr:row>2</xdr:row>
      <xdr:rowOff>590550</xdr:rowOff>
    </xdr:to>
    <xdr:sp macro="" textlink="">
      <xdr:nvSpPr>
        <xdr:cNvPr id="2" name="1 Cheuró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38225" y="514350"/>
          <a:ext cx="323850" cy="485775"/>
        </a:xfrm>
        <a:prstGeom prst="chevr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57150</xdr:rowOff>
    </xdr:from>
    <xdr:to>
      <xdr:col>6</xdr:col>
      <xdr:colOff>523874</xdr:colOff>
      <xdr:row>0</xdr:row>
      <xdr:rowOff>1828800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9" y="57150"/>
          <a:ext cx="8315325" cy="177165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Cumplimentar el cuado de depósitos</a:t>
          </a: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completamente.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endParaRPr lang="es-E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12</xdr:col>
      <xdr:colOff>333375</xdr:colOff>
      <xdr:row>0</xdr:row>
      <xdr:rowOff>1485901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1"/>
          <a:ext cx="11811000" cy="1485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Cumplimentar el Presupuesto</a:t>
          </a: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de tesorería propuesto.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2400">
            <a:solidFill>
              <a:schemeClr val="accent1">
                <a:lumMod val="50000"/>
              </a:schemeClr>
            </a:solidFill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accent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Totalizar por meses y partidas</a:t>
          </a:r>
          <a:endParaRPr lang="es-E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666750</xdr:colOff>
      <xdr:row>0</xdr:row>
      <xdr:rowOff>1485900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11811000" cy="1485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Cumplimentar el cuado resumen</a:t>
          </a: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efectos </a:t>
          </a:r>
          <a:r>
            <a:rPr lang="es-ES" sz="2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descontados</a:t>
          </a: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completamente.</a:t>
          </a:r>
          <a:endParaRPr lang="es-ES" sz="24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48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  <a:endParaRPr lang="es-ES" sz="48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600075</xdr:colOff>
      <xdr:row>10</xdr:row>
      <xdr:rowOff>19050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0" y="0"/>
          <a:ext cx="13173075" cy="20193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Ten en cuenta un interés de mercado es del 8% nominal capitalizable por meses.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responder de forma clara y justificada en  esta misma hoja, a las siguiente cuestión: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Importe del pago único con vencimiento 1 de febrero de 2019 que sustitiye los anteriores.</a:t>
          </a:r>
        </a:p>
        <a:p>
          <a:pPr marL="171450" marR="0" lvl="0" indent="-1714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Indicar los cálculos realizados en  esta misma hoja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409575</xdr:colOff>
      <xdr:row>11</xdr:row>
      <xdr:rowOff>47625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0"/>
          <a:ext cx="13173075" cy="224790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Utilizar la información complementaria ofrecida en la hoja "datos"</a:t>
          </a:r>
          <a:endParaRPr lang="es-ES" sz="4800">
            <a:effectLst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s-ES" sz="2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responder de forma clara y justificada en  esta misma hoja, a las siguientes cuestiones: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TAE del préstamo solicitado.</a:t>
          </a: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TAE (rentabilidad) de la inversión.</a:t>
          </a:r>
        </a:p>
        <a:p>
          <a:pPr marL="285750" marR="0" lvl="0" indent="-28575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§"/>
            <a:tabLst/>
            <a:defRPr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importe efectivo que se pudo invertir gracias a la solicitud del préstamo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800">
            <a:effectLst/>
          </a:endParaRPr>
        </a:p>
        <a:p>
          <a:pPr marL="285750" indent="-285750">
            <a:buFont typeface="Wingdings" panose="05000000000000000000" pitchFamily="2" charset="2"/>
            <a:buChar char="§"/>
          </a:pPr>
          <a:r>
            <a:rPr lang="es-ES" sz="1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Justificar la conveniencia o no de la financiación de esta inversión.</a:t>
          </a:r>
        </a:p>
        <a:p>
          <a:pPr marL="171450" indent="-171450">
            <a:buFont typeface="Arial" panose="020B0604020202020204" pitchFamily="34" charset="0"/>
            <a:buChar char="•"/>
          </a:pPr>
          <a:endParaRPr lang="es-ES" sz="48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4"/>
  <sheetViews>
    <sheetView showGridLines="0" topLeftCell="F2" workbookViewId="0">
      <selection activeCell="F4" sqref="F4:G9"/>
    </sheetView>
  </sheetViews>
  <sheetFormatPr baseColWidth="10" defaultColWidth="10.875" defaultRowHeight="15.75" x14ac:dyDescent="0.25"/>
  <cols>
    <col min="1" max="4" width="17.625" style="1" hidden="1" customWidth="1"/>
    <col min="5" max="5" width="17.625" style="1" customWidth="1"/>
    <col min="6" max="6" width="46.625" style="1" customWidth="1"/>
    <col min="7" max="7" width="76.625" style="1" customWidth="1"/>
    <col min="8" max="8" width="2" style="1" bestFit="1" customWidth="1"/>
    <col min="9" max="9" width="3.125" style="1" customWidth="1"/>
    <col min="10" max="11" width="10.875" style="1"/>
    <col min="12" max="13" width="1.625" style="1" customWidth="1"/>
    <col min="14" max="14" width="4.375" style="1" customWidth="1"/>
    <col min="15" max="15" width="6.125" style="5" customWidth="1"/>
    <col min="16" max="16384" width="10.875" style="1"/>
  </cols>
  <sheetData>
    <row r="1" spans="1:15" hidden="1" x14ac:dyDescent="0.25">
      <c r="B1" s="2" t="s">
        <v>1</v>
      </c>
      <c r="C1" s="2" t="s">
        <v>2</v>
      </c>
      <c r="D1" s="2" t="s">
        <v>0</v>
      </c>
      <c r="E1" s="2" t="s">
        <v>257</v>
      </c>
      <c r="F1" s="3" t="str">
        <f>LEFT(F3,1)</f>
        <v/>
      </c>
      <c r="G1" s="3" t="str">
        <f>MID(F3,2,1)</f>
        <v/>
      </c>
      <c r="H1" s="3" t="str">
        <f>MID(F3,3,1)</f>
        <v/>
      </c>
      <c r="I1" s="3" t="str">
        <f>MID(F3,4,1)</f>
        <v/>
      </c>
      <c r="J1" s="3" t="str">
        <f>MID(F3,5,1)</f>
        <v/>
      </c>
      <c r="K1" s="3" t="str">
        <f>MID(F3,6,1)</f>
        <v/>
      </c>
      <c r="L1" s="3" t="str">
        <f>MID(F3,7,1)</f>
        <v/>
      </c>
      <c r="M1" s="4">
        <f>IF(F3&lt;9999999,0,MID(F3,8,1))</f>
        <v>0</v>
      </c>
      <c r="N1" s="3" t="e">
        <f>F1+G1+H1+I1+J1+K1+L1+M1</f>
        <v>#VALUE!</v>
      </c>
    </row>
    <row r="2" spans="1:15" ht="16.5" thickBot="1" x14ac:dyDescent="0.3">
      <c r="B2" s="2"/>
      <c r="C2" s="2"/>
      <c r="D2" s="2" t="s">
        <v>258</v>
      </c>
      <c r="E2" s="2"/>
      <c r="F2" s="3"/>
      <c r="G2" s="3"/>
      <c r="H2" s="3"/>
      <c r="I2" s="3"/>
      <c r="J2" s="3"/>
      <c r="K2" s="3"/>
      <c r="L2" s="3"/>
      <c r="M2" s="3"/>
      <c r="N2" s="3"/>
    </row>
    <row r="3" spans="1:15" ht="48" thickTop="1" thickBot="1" x14ac:dyDescent="0.6">
      <c r="A3" s="4">
        <v>48891314</v>
      </c>
      <c r="B3" s="2" t="s">
        <v>3</v>
      </c>
      <c r="C3" s="2" t="s">
        <v>4</v>
      </c>
      <c r="D3" s="6" t="str">
        <f xml:space="preserve"> CONCATENATE(B3,", ",C3)</f>
        <v>Sergio, Abel Vidal</v>
      </c>
      <c r="E3" s="6"/>
      <c r="F3" s="11"/>
      <c r="G3" s="10" t="str">
        <f>IFERROR(VLOOKUP(F3,$A$3:$D$144,4,0),"")</f>
        <v/>
      </c>
    </row>
    <row r="4" spans="1:15" ht="17.25" thickTop="1" thickBot="1" x14ac:dyDescent="0.3">
      <c r="A4" s="4">
        <v>47391775</v>
      </c>
      <c r="B4" s="2" t="s">
        <v>5</v>
      </c>
      <c r="C4" s="2" t="s">
        <v>6</v>
      </c>
      <c r="D4" s="6" t="str">
        <f t="shared" ref="D4:D67" si="0" xml:space="preserve"> CONCATENATE(B4,", ",C4)</f>
        <v>Marta, Acedo Piñero</v>
      </c>
      <c r="E4" s="6"/>
      <c r="F4" s="142" t="s">
        <v>7</v>
      </c>
      <c r="G4" s="142"/>
    </row>
    <row r="5" spans="1:15" ht="17.25" thickTop="1" thickBot="1" x14ac:dyDescent="0.3">
      <c r="A5" s="4">
        <v>77924929</v>
      </c>
      <c r="B5" s="2" t="s">
        <v>8</v>
      </c>
      <c r="C5" s="2" t="s">
        <v>9</v>
      </c>
      <c r="D5" s="6" t="str">
        <f t="shared" si="0"/>
        <v>Nélida, Adorna Rojas</v>
      </c>
      <c r="E5" s="6"/>
      <c r="F5" s="142"/>
      <c r="G5" s="142"/>
    </row>
    <row r="6" spans="1:15" ht="17.25" thickTop="1" thickBot="1" x14ac:dyDescent="0.3">
      <c r="A6" s="4">
        <v>32080091</v>
      </c>
      <c r="B6" s="2" t="s">
        <v>10</v>
      </c>
      <c r="C6" s="2" t="s">
        <v>11</v>
      </c>
      <c r="D6" s="6" t="str">
        <f t="shared" si="0"/>
        <v>Jenifer, Aguilar Fernández</v>
      </c>
      <c r="E6" s="6"/>
      <c r="F6" s="142"/>
      <c r="G6" s="142"/>
    </row>
    <row r="7" spans="1:15" ht="17.25" thickTop="1" thickBot="1" x14ac:dyDescent="0.3">
      <c r="A7" s="4">
        <v>31723637</v>
      </c>
      <c r="B7" s="2" t="s">
        <v>12</v>
      </c>
      <c r="C7" s="2" t="s">
        <v>13</v>
      </c>
      <c r="D7" s="6" t="str">
        <f t="shared" si="0"/>
        <v>Verónica, Alcántara Delgado</v>
      </c>
      <c r="E7" s="6"/>
      <c r="F7" s="142"/>
      <c r="G7" s="142"/>
    </row>
    <row r="8" spans="1:15" ht="17.25" thickTop="1" thickBot="1" x14ac:dyDescent="0.3">
      <c r="A8" s="4">
        <v>30943462</v>
      </c>
      <c r="B8" s="2" t="s">
        <v>14</v>
      </c>
      <c r="C8" s="2" t="s">
        <v>15</v>
      </c>
      <c r="D8" s="6" t="str">
        <f t="shared" si="0"/>
        <v>Antonio Marcos, Alcántara Granados</v>
      </c>
      <c r="E8" s="6"/>
      <c r="F8" s="142"/>
      <c r="G8" s="142"/>
    </row>
    <row r="9" spans="1:15" ht="17.25" thickTop="1" thickBot="1" x14ac:dyDescent="0.3">
      <c r="A9" s="4">
        <v>75772266</v>
      </c>
      <c r="B9" s="2" t="s">
        <v>16</v>
      </c>
      <c r="C9" s="2" t="s">
        <v>17</v>
      </c>
      <c r="D9" s="6" t="str">
        <f t="shared" si="0"/>
        <v>María Verónica, Almeneiro Calvo</v>
      </c>
      <c r="E9" s="6"/>
      <c r="F9" s="142"/>
      <c r="G9" s="142"/>
    </row>
    <row r="10" spans="1:15" ht="16.5" thickTop="1" x14ac:dyDescent="0.25">
      <c r="A10" s="4">
        <v>47338315</v>
      </c>
      <c r="B10" s="2" t="s">
        <v>18</v>
      </c>
      <c r="C10" s="2" t="s">
        <v>19</v>
      </c>
      <c r="D10" s="6" t="str">
        <f t="shared" si="0"/>
        <v>Manuel, Angulo Jiménez</v>
      </c>
      <c r="E10" s="6"/>
      <c r="O10" s="7"/>
    </row>
    <row r="11" spans="1:15" x14ac:dyDescent="0.25">
      <c r="A11" s="4">
        <v>53742130</v>
      </c>
      <c r="B11" s="2" t="s">
        <v>20</v>
      </c>
      <c r="C11" s="2" t="s">
        <v>21</v>
      </c>
      <c r="D11" s="6" t="str">
        <f t="shared" si="0"/>
        <v>Encarnación, Arcas Ortega</v>
      </c>
      <c r="E11" s="6"/>
      <c r="O11" s="7"/>
    </row>
    <row r="12" spans="1:15" x14ac:dyDescent="0.25">
      <c r="A12" s="4">
        <v>44964532</v>
      </c>
      <c r="B12" s="2" t="s">
        <v>22</v>
      </c>
      <c r="C12" s="2" t="s">
        <v>23</v>
      </c>
      <c r="D12" s="6" t="str">
        <f t="shared" si="0"/>
        <v>María Isabel, Ariza Navarro</v>
      </c>
      <c r="E12" s="6"/>
      <c r="O12" s="7"/>
    </row>
    <row r="13" spans="1:15" x14ac:dyDescent="0.25">
      <c r="A13" s="4">
        <v>44951618</v>
      </c>
      <c r="B13" s="2" t="s">
        <v>24</v>
      </c>
      <c r="C13" s="2" t="s">
        <v>25</v>
      </c>
      <c r="D13" s="6" t="str">
        <f t="shared" si="0"/>
        <v>Emilia, Barrera Calvente</v>
      </c>
      <c r="E13" s="6"/>
      <c r="G13" s="143"/>
      <c r="O13" s="7"/>
    </row>
    <row r="14" spans="1:15" x14ac:dyDescent="0.25">
      <c r="A14" s="4">
        <v>26233046</v>
      </c>
      <c r="B14" s="2" t="s">
        <v>26</v>
      </c>
      <c r="C14" s="2" t="s">
        <v>27</v>
      </c>
      <c r="D14" s="6" t="str">
        <f t="shared" si="0"/>
        <v>Elio, Bedmar Honrubia</v>
      </c>
      <c r="E14" s="6"/>
      <c r="G14" s="143"/>
      <c r="O14" s="7"/>
    </row>
    <row r="15" spans="1:15" ht="31.5" x14ac:dyDescent="0.25">
      <c r="A15" s="4">
        <v>74918131</v>
      </c>
      <c r="B15" s="2" t="s">
        <v>28</v>
      </c>
      <c r="C15" s="2" t="s">
        <v>29</v>
      </c>
      <c r="D15" s="6" t="str">
        <f t="shared" si="0"/>
        <v>Míriam, Benítez Prados</v>
      </c>
      <c r="E15" s="6"/>
      <c r="F15" s="8"/>
      <c r="G15" s="143"/>
      <c r="O15" s="7"/>
    </row>
    <row r="16" spans="1:15" ht="31.5" x14ac:dyDescent="0.25">
      <c r="A16" s="4">
        <v>30825096</v>
      </c>
      <c r="B16" s="2" t="s">
        <v>5</v>
      </c>
      <c r="C16" s="2" t="s">
        <v>30</v>
      </c>
      <c r="D16" s="6" t="str">
        <f t="shared" si="0"/>
        <v>Marta, Boda Suárez</v>
      </c>
      <c r="E16" s="6"/>
      <c r="F16" s="8"/>
      <c r="G16" s="143"/>
      <c r="O16" s="7"/>
    </row>
    <row r="17" spans="1:16" ht="31.5" x14ac:dyDescent="0.25">
      <c r="A17" s="4">
        <v>76089513</v>
      </c>
      <c r="B17" s="2" t="s">
        <v>31</v>
      </c>
      <c r="C17" s="2" t="s">
        <v>32</v>
      </c>
      <c r="D17" s="6" t="str">
        <f t="shared" si="0"/>
        <v>Javier, Boto López</v>
      </c>
      <c r="E17" s="6"/>
      <c r="F17" s="8"/>
      <c r="G17" s="143"/>
      <c r="O17" s="7"/>
    </row>
    <row r="18" spans="1:16" ht="31.5" x14ac:dyDescent="0.25">
      <c r="A18" s="4">
        <v>78237891</v>
      </c>
      <c r="B18" s="2" t="s">
        <v>33</v>
      </c>
      <c r="C18" s="2" t="s">
        <v>34</v>
      </c>
      <c r="D18" s="6" t="str">
        <f t="shared" si="0"/>
        <v>Jaouad, Boutabouzi Bellafkih</v>
      </c>
      <c r="E18" s="6"/>
      <c r="F18" s="8"/>
      <c r="G18" s="143"/>
      <c r="O18" s="7"/>
    </row>
    <row r="19" spans="1:16" ht="31.5" x14ac:dyDescent="0.25">
      <c r="A19" s="4">
        <v>53342073</v>
      </c>
      <c r="B19" s="2" t="s">
        <v>35</v>
      </c>
      <c r="C19" s="2" t="s">
        <v>36</v>
      </c>
      <c r="D19" s="6" t="str">
        <f t="shared" si="0"/>
        <v>Batseba, Burgos Gracia</v>
      </c>
      <c r="E19" s="6"/>
      <c r="F19" s="8"/>
      <c r="G19" s="143"/>
      <c r="O19" s="7"/>
    </row>
    <row r="20" spans="1:16" ht="31.5" x14ac:dyDescent="0.25">
      <c r="A20" s="4">
        <v>34858279</v>
      </c>
      <c r="B20" s="2" t="s">
        <v>37</v>
      </c>
      <c r="C20" s="2" t="s">
        <v>38</v>
      </c>
      <c r="D20" s="6" t="str">
        <f t="shared" si="0"/>
        <v>María Almudena, Cabañas Fernández</v>
      </c>
      <c r="E20" s="6"/>
      <c r="F20" s="8"/>
      <c r="G20" s="143"/>
      <c r="O20" s="7"/>
    </row>
    <row r="21" spans="1:16" ht="31.5" x14ac:dyDescent="0.25">
      <c r="A21" s="4">
        <v>75878651</v>
      </c>
      <c r="B21" s="2" t="s">
        <v>39</v>
      </c>
      <c r="C21" s="2" t="s">
        <v>40</v>
      </c>
      <c r="D21" s="6" t="str">
        <f t="shared" si="0"/>
        <v>Virginia, Cabrera Crespo</v>
      </c>
      <c r="E21" s="6"/>
      <c r="F21" s="8"/>
      <c r="G21" s="143"/>
      <c r="O21" s="7"/>
    </row>
    <row r="22" spans="1:16" ht="31.5" x14ac:dyDescent="0.25">
      <c r="A22" s="4">
        <v>32063041</v>
      </c>
      <c r="B22" s="2" t="s">
        <v>41</v>
      </c>
      <c r="C22" s="2" t="s">
        <v>42</v>
      </c>
      <c r="D22" s="6" t="str">
        <f t="shared" si="0"/>
        <v>Antonio, Calvo Romero</v>
      </c>
      <c r="E22" s="6"/>
      <c r="F22" s="8"/>
      <c r="O22" s="7"/>
    </row>
    <row r="23" spans="1:16" ht="31.5" x14ac:dyDescent="0.25">
      <c r="A23" s="4">
        <v>33376968</v>
      </c>
      <c r="B23" s="2" t="s">
        <v>43</v>
      </c>
      <c r="C23" s="2" t="s">
        <v>44</v>
      </c>
      <c r="D23" s="6" t="str">
        <f t="shared" si="0"/>
        <v>Leocadia, Camacho De Lorenzo</v>
      </c>
      <c r="E23" s="6"/>
      <c r="F23" s="8"/>
      <c r="O23" s="7"/>
    </row>
    <row r="24" spans="1:16" ht="31.5" x14ac:dyDescent="0.25">
      <c r="A24" s="4">
        <v>28635675</v>
      </c>
      <c r="B24" s="2" t="s">
        <v>45</v>
      </c>
      <c r="C24" s="2" t="s">
        <v>46</v>
      </c>
      <c r="D24" s="6" t="str">
        <f t="shared" si="0"/>
        <v>María Jesús, Caro Salguero</v>
      </c>
      <c r="E24" s="6"/>
      <c r="F24" s="8"/>
      <c r="O24" s="7"/>
    </row>
    <row r="25" spans="1:16" ht="31.5" x14ac:dyDescent="0.25">
      <c r="A25" s="1">
        <v>4571354</v>
      </c>
      <c r="B25" s="2" t="s">
        <v>47</v>
      </c>
      <c r="C25" s="2" t="s">
        <v>48</v>
      </c>
      <c r="D25" s="6" t="str">
        <f t="shared" si="0"/>
        <v>Mariana, Casares</v>
      </c>
      <c r="E25" s="6"/>
      <c r="F25" s="8"/>
      <c r="O25" s="7"/>
    </row>
    <row r="26" spans="1:16" ht="31.5" x14ac:dyDescent="0.25">
      <c r="A26" s="4">
        <v>77157006</v>
      </c>
      <c r="B26" s="2" t="s">
        <v>49</v>
      </c>
      <c r="C26" s="2" t="s">
        <v>50</v>
      </c>
      <c r="D26" s="6" t="str">
        <f t="shared" si="0"/>
        <v>Tania, Castaño Ríos</v>
      </c>
      <c r="E26" s="6"/>
      <c r="F26" s="8"/>
      <c r="G26" s="8"/>
      <c r="O26" s="7"/>
    </row>
    <row r="27" spans="1:16" ht="31.5" x14ac:dyDescent="0.25">
      <c r="A27" s="4">
        <v>45746873</v>
      </c>
      <c r="B27" s="2" t="s">
        <v>51</v>
      </c>
      <c r="C27" s="2" t="s">
        <v>52</v>
      </c>
      <c r="D27" s="6" t="str">
        <f t="shared" si="0"/>
        <v>Antonio Manuel, Castilla Marín</v>
      </c>
      <c r="E27" s="6"/>
      <c r="F27" s="8"/>
      <c r="G27" s="8"/>
      <c r="O27" s="7"/>
    </row>
    <row r="28" spans="1:16" ht="31.5" x14ac:dyDescent="0.25">
      <c r="A28" s="4">
        <v>48982332</v>
      </c>
      <c r="B28" s="2" t="s">
        <v>53</v>
      </c>
      <c r="C28" s="2" t="s">
        <v>54</v>
      </c>
      <c r="D28" s="6" t="str">
        <f t="shared" si="0"/>
        <v>María Luisa, Castro Arcos</v>
      </c>
      <c r="E28" s="6"/>
      <c r="F28" s="8"/>
      <c r="G28" s="8"/>
      <c r="O28" s="7"/>
    </row>
    <row r="29" spans="1:16" ht="31.5" x14ac:dyDescent="0.25">
      <c r="A29" s="4">
        <v>28642431</v>
      </c>
      <c r="B29" s="2" t="s">
        <v>55</v>
      </c>
      <c r="C29" s="2" t="s">
        <v>56</v>
      </c>
      <c r="D29" s="6" t="str">
        <f t="shared" si="0"/>
        <v>Andrés, Ceballos Calvente</v>
      </c>
      <c r="E29" s="6"/>
      <c r="F29" s="8"/>
      <c r="G29" s="8"/>
      <c r="O29" s="7"/>
      <c r="P29" s="9">
        <v>2222</v>
      </c>
    </row>
    <row r="30" spans="1:16" ht="31.5" x14ac:dyDescent="0.25">
      <c r="A30" s="4">
        <v>75790973</v>
      </c>
      <c r="B30" s="2" t="s">
        <v>57</v>
      </c>
      <c r="C30" s="2" t="s">
        <v>58</v>
      </c>
      <c r="D30" s="6" t="str">
        <f t="shared" si="0"/>
        <v>José David, Chacón Maya</v>
      </c>
      <c r="E30" s="6"/>
      <c r="F30" s="8"/>
      <c r="G30" s="8"/>
      <c r="O30" s="7"/>
    </row>
    <row r="31" spans="1:16" x14ac:dyDescent="0.25">
      <c r="A31" s="4">
        <v>79024340</v>
      </c>
      <c r="B31" s="2" t="s">
        <v>59</v>
      </c>
      <c r="C31" s="2" t="s">
        <v>60</v>
      </c>
      <c r="D31" s="6" t="str">
        <f t="shared" si="0"/>
        <v>Rabab, Chargui Wafik</v>
      </c>
      <c r="E31" s="6"/>
      <c r="O31" s="7"/>
    </row>
    <row r="32" spans="1:16" x14ac:dyDescent="0.25">
      <c r="A32" s="4">
        <v>48990908</v>
      </c>
      <c r="B32" s="2" t="s">
        <v>61</v>
      </c>
      <c r="C32" s="2" t="s">
        <v>62</v>
      </c>
      <c r="D32" s="6" t="str">
        <f t="shared" si="0"/>
        <v>Adrián, Clavijo Madrid</v>
      </c>
      <c r="E32" s="6"/>
      <c r="O32" s="7"/>
    </row>
    <row r="33" spans="1:15" x14ac:dyDescent="0.25">
      <c r="A33" s="4">
        <v>30990387</v>
      </c>
      <c r="B33" s="2" t="s">
        <v>63</v>
      </c>
      <c r="C33" s="2" t="s">
        <v>64</v>
      </c>
      <c r="D33" s="6" t="str">
        <f t="shared" si="0"/>
        <v>Inmaculada, Cobos Hidalgo</v>
      </c>
      <c r="E33" s="6"/>
      <c r="O33" s="7"/>
    </row>
    <row r="34" spans="1:15" x14ac:dyDescent="0.25">
      <c r="A34" s="4">
        <v>29500986</v>
      </c>
      <c r="B34" s="2" t="s">
        <v>65</v>
      </c>
      <c r="C34" s="2" t="s">
        <v>66</v>
      </c>
      <c r="D34" s="6" t="str">
        <f t="shared" si="0"/>
        <v>Patry, Corona Martínez</v>
      </c>
      <c r="E34" s="6"/>
    </row>
    <row r="35" spans="1:15" x14ac:dyDescent="0.25">
      <c r="A35" s="4">
        <v>14629992</v>
      </c>
      <c r="B35" s="2" t="s">
        <v>67</v>
      </c>
      <c r="C35" s="2" t="s">
        <v>68</v>
      </c>
      <c r="D35" s="6" t="str">
        <f t="shared" si="0"/>
        <v>Isabel, Cortes Bermúdez</v>
      </c>
      <c r="E35" s="6"/>
    </row>
    <row r="36" spans="1:15" x14ac:dyDescent="0.25">
      <c r="A36" s="4">
        <v>75141730</v>
      </c>
      <c r="B36" s="2" t="s">
        <v>69</v>
      </c>
      <c r="C36" s="2" t="s">
        <v>70</v>
      </c>
      <c r="D36" s="6" t="str">
        <f t="shared" si="0"/>
        <v>Lydia, Cubillas Rodríguez</v>
      </c>
      <c r="E36" s="6"/>
    </row>
    <row r="37" spans="1:15" x14ac:dyDescent="0.25">
      <c r="A37" s="4">
        <v>77047714</v>
      </c>
      <c r="B37" s="2" t="s">
        <v>71</v>
      </c>
      <c r="C37" s="2" t="s">
        <v>72</v>
      </c>
      <c r="D37" s="6" t="str">
        <f t="shared" si="0"/>
        <v>Lucas, Da Rosa Hugo</v>
      </c>
      <c r="E37" s="6"/>
    </row>
    <row r="38" spans="1:15" x14ac:dyDescent="0.25">
      <c r="A38" s="4">
        <v>30248973</v>
      </c>
      <c r="B38" s="2" t="s">
        <v>31</v>
      </c>
      <c r="C38" s="2" t="s">
        <v>73</v>
      </c>
      <c r="D38" s="6" t="str">
        <f t="shared" si="0"/>
        <v>Javier, De la Puente Infantes</v>
      </c>
      <c r="E38" s="6"/>
    </row>
    <row r="39" spans="1:15" x14ac:dyDescent="0.25">
      <c r="A39" s="4">
        <v>49059634</v>
      </c>
      <c r="B39" s="2" t="s">
        <v>74</v>
      </c>
      <c r="C39" s="2" t="s">
        <v>75</v>
      </c>
      <c r="D39" s="6" t="str">
        <f t="shared" si="0"/>
        <v>Cristina, Delgado Rubio</v>
      </c>
      <c r="E39" s="6"/>
    </row>
    <row r="40" spans="1:15" x14ac:dyDescent="0.25">
      <c r="A40" s="4">
        <v>25600327</v>
      </c>
      <c r="B40" s="2" t="s">
        <v>76</v>
      </c>
      <c r="C40" s="2" t="s">
        <v>77</v>
      </c>
      <c r="D40" s="6" t="str">
        <f t="shared" si="0"/>
        <v>Marina, Domínguez Fuentesal</v>
      </c>
      <c r="E40" s="6"/>
    </row>
    <row r="41" spans="1:15" x14ac:dyDescent="0.25">
      <c r="A41" s="4">
        <v>48938125</v>
      </c>
      <c r="B41" s="2" t="s">
        <v>78</v>
      </c>
      <c r="C41" s="2" t="s">
        <v>79</v>
      </c>
      <c r="D41" s="6" t="str">
        <f t="shared" si="0"/>
        <v>María del Rocío, Domínguez Prieto</v>
      </c>
      <c r="E41" s="6"/>
    </row>
    <row r="42" spans="1:15" x14ac:dyDescent="0.25">
      <c r="A42" s="4">
        <v>50623901</v>
      </c>
      <c r="B42" s="2" t="s">
        <v>80</v>
      </c>
      <c r="C42" s="2" t="s">
        <v>81</v>
      </c>
      <c r="D42" s="6" t="str">
        <f t="shared" si="0"/>
        <v>Araceli, Egea Pérez</v>
      </c>
      <c r="E42" s="6"/>
    </row>
    <row r="43" spans="1:15" x14ac:dyDescent="0.25">
      <c r="A43" s="4">
        <v>26224070</v>
      </c>
      <c r="B43" s="2" t="s">
        <v>82</v>
      </c>
      <c r="C43" s="2" t="s">
        <v>83</v>
      </c>
      <c r="D43" s="6" t="str">
        <f t="shared" si="0"/>
        <v>María de las Nieves, Escalona Gómez</v>
      </c>
      <c r="E43" s="6"/>
    </row>
    <row r="44" spans="1:15" x14ac:dyDescent="0.25">
      <c r="A44" s="4">
        <v>49022258</v>
      </c>
      <c r="B44" s="2" t="s">
        <v>84</v>
      </c>
      <c r="C44" s="2" t="s">
        <v>85</v>
      </c>
      <c r="D44" s="6" t="str">
        <f t="shared" si="0"/>
        <v>Anaís, Estévez Molina</v>
      </c>
      <c r="E44" s="6"/>
    </row>
    <row r="45" spans="1:15" x14ac:dyDescent="0.25">
      <c r="A45" s="4">
        <v>34037468</v>
      </c>
      <c r="B45" s="2" t="s">
        <v>86</v>
      </c>
      <c r="C45" s="2" t="s">
        <v>87</v>
      </c>
      <c r="D45" s="6" t="str">
        <f t="shared" si="0"/>
        <v>Antonia, Expósito Jiménez</v>
      </c>
      <c r="E45" s="6"/>
    </row>
    <row r="46" spans="1:15" x14ac:dyDescent="0.25">
      <c r="A46" s="4">
        <v>28764033</v>
      </c>
      <c r="B46" s="2" t="s">
        <v>88</v>
      </c>
      <c r="C46" s="2" t="s">
        <v>89</v>
      </c>
      <c r="D46" s="6" t="str">
        <f t="shared" si="0"/>
        <v>María José, Fernández Dobla</v>
      </c>
      <c r="E46" s="6"/>
    </row>
    <row r="47" spans="1:15" x14ac:dyDescent="0.25">
      <c r="A47" s="1">
        <v>9197869</v>
      </c>
      <c r="B47" s="2" t="s">
        <v>90</v>
      </c>
      <c r="C47" s="2" t="s">
        <v>91</v>
      </c>
      <c r="D47" s="6" t="str">
        <f t="shared" si="0"/>
        <v>Elsa Fabiana, Galarza Giménez</v>
      </c>
      <c r="E47" s="6"/>
    </row>
    <row r="48" spans="1:15" x14ac:dyDescent="0.25">
      <c r="A48" s="4">
        <v>45601369</v>
      </c>
      <c r="B48" s="2" t="s">
        <v>92</v>
      </c>
      <c r="C48" s="2" t="s">
        <v>93</v>
      </c>
      <c r="D48" s="6" t="str">
        <f t="shared" si="0"/>
        <v>Patricia, Galera Gil</v>
      </c>
      <c r="E48" s="6"/>
    </row>
    <row r="49" spans="1:15" x14ac:dyDescent="0.25">
      <c r="A49" s="4">
        <v>14620111</v>
      </c>
      <c r="B49" s="2" t="s">
        <v>94</v>
      </c>
      <c r="C49" s="2" t="s">
        <v>95</v>
      </c>
      <c r="D49" s="6" t="str">
        <f t="shared" si="0"/>
        <v>Fátima María, Gálvez Gómez</v>
      </c>
      <c r="E49" s="6"/>
      <c r="O49" s="1"/>
    </row>
    <row r="50" spans="1:15" x14ac:dyDescent="0.25">
      <c r="A50" s="4">
        <v>28814737</v>
      </c>
      <c r="B50" s="2" t="s">
        <v>96</v>
      </c>
      <c r="C50" s="2" t="s">
        <v>97</v>
      </c>
      <c r="D50" s="6" t="str">
        <f t="shared" si="0"/>
        <v>José Manuel, Gandullo García</v>
      </c>
      <c r="E50" s="6"/>
      <c r="O50" s="1"/>
    </row>
    <row r="51" spans="1:15" x14ac:dyDescent="0.25">
      <c r="A51" s="4">
        <v>26830478</v>
      </c>
      <c r="B51" s="2" t="s">
        <v>98</v>
      </c>
      <c r="C51" s="2" t="s">
        <v>99</v>
      </c>
      <c r="D51" s="6" t="str">
        <f t="shared" si="0"/>
        <v>Teresa, García Cobos</v>
      </c>
      <c r="E51" s="6"/>
      <c r="O51" s="1"/>
    </row>
    <row r="52" spans="1:15" x14ac:dyDescent="0.25">
      <c r="A52" s="4">
        <v>49120182</v>
      </c>
      <c r="B52" s="2" t="s">
        <v>100</v>
      </c>
      <c r="C52" s="2" t="s">
        <v>101</v>
      </c>
      <c r="D52" s="6" t="str">
        <f t="shared" si="0"/>
        <v>Elizabeth, García Del Valle</v>
      </c>
      <c r="E52" s="6"/>
      <c r="O52" s="1"/>
    </row>
    <row r="53" spans="1:15" x14ac:dyDescent="0.25">
      <c r="A53" s="4">
        <v>75241965</v>
      </c>
      <c r="B53" s="2" t="s">
        <v>102</v>
      </c>
      <c r="C53" s="2" t="s">
        <v>103</v>
      </c>
      <c r="D53" s="6" t="str">
        <f t="shared" si="0"/>
        <v>Isidoro, García Gómez</v>
      </c>
      <c r="E53" s="6"/>
      <c r="O53" s="1"/>
    </row>
    <row r="54" spans="1:15" x14ac:dyDescent="0.25">
      <c r="A54" s="4">
        <v>30959616</v>
      </c>
      <c r="B54" s="2" t="s">
        <v>104</v>
      </c>
      <c r="C54" s="2" t="s">
        <v>105</v>
      </c>
      <c r="D54" s="6" t="str">
        <f t="shared" si="0"/>
        <v>Lucía María, García Páez</v>
      </c>
      <c r="E54" s="6"/>
      <c r="O54" s="1"/>
    </row>
    <row r="55" spans="1:15" x14ac:dyDescent="0.25">
      <c r="A55" s="4">
        <v>26805655</v>
      </c>
      <c r="B55" s="2" t="s">
        <v>106</v>
      </c>
      <c r="C55" s="2" t="s">
        <v>107</v>
      </c>
      <c r="D55" s="6" t="str">
        <f t="shared" si="0"/>
        <v>Alberto Manuel, García Peña</v>
      </c>
      <c r="E55" s="6"/>
      <c r="O55" s="1"/>
    </row>
    <row r="56" spans="1:15" x14ac:dyDescent="0.25">
      <c r="A56" s="4">
        <v>52338646</v>
      </c>
      <c r="B56" s="2" t="s">
        <v>108</v>
      </c>
      <c r="C56" s="2" t="s">
        <v>109</v>
      </c>
      <c r="D56" s="6" t="str">
        <f t="shared" si="0"/>
        <v>Yolanda, Gómez Fernández</v>
      </c>
      <c r="E56" s="6"/>
      <c r="O56" s="1"/>
    </row>
    <row r="57" spans="1:15" x14ac:dyDescent="0.25">
      <c r="A57" s="4">
        <v>25074258</v>
      </c>
      <c r="B57" s="2" t="s">
        <v>110</v>
      </c>
      <c r="C57" s="2" t="s">
        <v>111</v>
      </c>
      <c r="D57" s="6" t="str">
        <f t="shared" si="0"/>
        <v>María Araceli, Gómez Merino</v>
      </c>
      <c r="E57" s="6"/>
      <c r="O57" s="1"/>
    </row>
    <row r="58" spans="1:15" x14ac:dyDescent="0.25">
      <c r="A58" s="4">
        <v>53271099</v>
      </c>
      <c r="B58" s="2" t="s">
        <v>112</v>
      </c>
      <c r="C58" s="2" t="s">
        <v>113</v>
      </c>
      <c r="D58" s="6" t="str">
        <f t="shared" si="0"/>
        <v>Pablo, Gómez Sánchez</v>
      </c>
      <c r="E58" s="6"/>
      <c r="O58" s="1"/>
    </row>
    <row r="59" spans="1:15" x14ac:dyDescent="0.25">
      <c r="A59" s="4">
        <v>45643140</v>
      </c>
      <c r="B59" s="2" t="s">
        <v>114</v>
      </c>
      <c r="C59" s="2" t="s">
        <v>115</v>
      </c>
      <c r="D59" s="6" t="str">
        <f t="shared" si="0"/>
        <v>María Magdalena, González Baraza</v>
      </c>
      <c r="E59" s="6"/>
      <c r="O59" s="1"/>
    </row>
    <row r="60" spans="1:15" x14ac:dyDescent="0.25">
      <c r="A60" s="4">
        <v>49092215</v>
      </c>
      <c r="B60" s="2" t="s">
        <v>116</v>
      </c>
      <c r="C60" s="2" t="s">
        <v>117</v>
      </c>
      <c r="D60" s="6" t="str">
        <f t="shared" si="0"/>
        <v>Sergi, Gorina Enrich</v>
      </c>
      <c r="E60" s="6"/>
      <c r="O60" s="1"/>
    </row>
    <row r="61" spans="1:15" x14ac:dyDescent="0.25">
      <c r="A61" s="4">
        <v>28844331</v>
      </c>
      <c r="B61" s="2" t="s">
        <v>118</v>
      </c>
      <c r="C61" s="2" t="s">
        <v>119</v>
      </c>
      <c r="D61" s="6" t="str">
        <f t="shared" si="0"/>
        <v>Alejandro, Guerrero Ruz</v>
      </c>
      <c r="E61" s="6"/>
      <c r="O61" s="1"/>
    </row>
    <row r="62" spans="1:15" x14ac:dyDescent="0.25">
      <c r="A62" s="4">
        <v>76649385</v>
      </c>
      <c r="B62" s="2" t="s">
        <v>120</v>
      </c>
      <c r="C62" s="2" t="s">
        <v>121</v>
      </c>
      <c r="D62" s="6" t="str">
        <f t="shared" si="0"/>
        <v>Alba, Gutiérrez Quintero</v>
      </c>
      <c r="E62" s="6"/>
      <c r="O62" s="1"/>
    </row>
    <row r="63" spans="1:15" x14ac:dyDescent="0.25">
      <c r="A63" s="4">
        <v>48974856</v>
      </c>
      <c r="B63" s="2" t="s">
        <v>122</v>
      </c>
      <c r="C63" s="2" t="s">
        <v>123</v>
      </c>
      <c r="D63" s="6" t="str">
        <f t="shared" si="0"/>
        <v>José, Heredia Leal</v>
      </c>
      <c r="E63" s="6"/>
      <c r="O63" s="1"/>
    </row>
    <row r="64" spans="1:15" x14ac:dyDescent="0.25">
      <c r="A64" s="4">
        <v>78964186</v>
      </c>
      <c r="B64" s="2" t="s">
        <v>124</v>
      </c>
      <c r="C64" s="2" t="s">
        <v>125</v>
      </c>
      <c r="D64" s="6" t="str">
        <f t="shared" si="0"/>
        <v>Jesús, Hernández García</v>
      </c>
      <c r="E64" s="6"/>
      <c r="O64" s="1"/>
    </row>
    <row r="65" spans="1:15" x14ac:dyDescent="0.25">
      <c r="A65" s="4">
        <v>47537020</v>
      </c>
      <c r="B65" s="2" t="s">
        <v>74</v>
      </c>
      <c r="C65" s="2" t="s">
        <v>126</v>
      </c>
      <c r="D65" s="6" t="str">
        <f t="shared" si="0"/>
        <v>Cristina, Hiraldo Ocaña</v>
      </c>
      <c r="E65" s="6"/>
      <c r="O65" s="1"/>
    </row>
    <row r="66" spans="1:15" x14ac:dyDescent="0.25">
      <c r="A66" s="4">
        <v>30232538</v>
      </c>
      <c r="B66" s="2" t="s">
        <v>127</v>
      </c>
      <c r="C66" s="2" t="s">
        <v>128</v>
      </c>
      <c r="D66" s="6" t="str">
        <f t="shared" si="0"/>
        <v>Victoria, Izquierdo Perea</v>
      </c>
      <c r="E66" s="6"/>
      <c r="O66" s="1"/>
    </row>
    <row r="67" spans="1:15" x14ac:dyDescent="0.25">
      <c r="A67" s="4">
        <v>28905216</v>
      </c>
      <c r="B67" s="2" t="s">
        <v>129</v>
      </c>
      <c r="C67" s="2" t="s">
        <v>130</v>
      </c>
      <c r="D67" s="6" t="str">
        <f t="shared" si="0"/>
        <v>María del Carmen, Jiménez Martínez</v>
      </c>
      <c r="E67" s="6"/>
      <c r="O67" s="1"/>
    </row>
    <row r="68" spans="1:15" x14ac:dyDescent="0.25">
      <c r="A68" s="4">
        <v>31008575</v>
      </c>
      <c r="B68" s="2" t="s">
        <v>92</v>
      </c>
      <c r="C68" s="2" t="s">
        <v>131</v>
      </c>
      <c r="D68" s="6" t="str">
        <f t="shared" ref="D68:D131" si="1" xml:space="preserve"> CONCATENATE(B68,", ",C68)</f>
        <v>Patricia, Jiménez Pérez</v>
      </c>
      <c r="E68" s="6"/>
      <c r="O68" s="1"/>
    </row>
    <row r="69" spans="1:15" x14ac:dyDescent="0.25">
      <c r="A69" s="4">
        <v>74912396</v>
      </c>
      <c r="B69" s="2" t="s">
        <v>132</v>
      </c>
      <c r="C69" s="2" t="s">
        <v>133</v>
      </c>
      <c r="D69" s="6" t="str">
        <f t="shared" si="1"/>
        <v>María Teresa, Jiménez Pino</v>
      </c>
      <c r="E69" s="6"/>
      <c r="O69" s="1"/>
    </row>
    <row r="70" spans="1:15" x14ac:dyDescent="0.25">
      <c r="A70" s="4">
        <v>47208330</v>
      </c>
      <c r="B70" s="2" t="s">
        <v>134</v>
      </c>
      <c r="C70" s="2" t="s">
        <v>135</v>
      </c>
      <c r="D70" s="6" t="str">
        <f t="shared" si="1"/>
        <v>José Carlos, Lebrón García</v>
      </c>
      <c r="E70" s="6"/>
      <c r="O70" s="1"/>
    </row>
    <row r="71" spans="1:15" x14ac:dyDescent="0.25">
      <c r="A71" s="4">
        <v>24260317</v>
      </c>
      <c r="B71" s="2" t="s">
        <v>108</v>
      </c>
      <c r="C71" s="2" t="s">
        <v>136</v>
      </c>
      <c r="D71" s="6" t="str">
        <f t="shared" si="1"/>
        <v>Yolanda, López García</v>
      </c>
      <c r="E71" s="6"/>
      <c r="O71" s="1"/>
    </row>
    <row r="72" spans="1:15" x14ac:dyDescent="0.25">
      <c r="A72" s="4">
        <v>25736594</v>
      </c>
      <c r="B72" s="2" t="s">
        <v>137</v>
      </c>
      <c r="C72" s="2" t="s">
        <v>138</v>
      </c>
      <c r="D72" s="6" t="str">
        <f t="shared" si="1"/>
        <v>Beatriz, Maldonado Martín</v>
      </c>
      <c r="E72" s="6"/>
      <c r="O72" s="1"/>
    </row>
    <row r="73" spans="1:15" x14ac:dyDescent="0.25">
      <c r="A73" s="4">
        <v>77201077</v>
      </c>
      <c r="B73" s="2" t="s">
        <v>139</v>
      </c>
      <c r="C73" s="2" t="s">
        <v>140</v>
      </c>
      <c r="D73" s="6" t="str">
        <f t="shared" si="1"/>
        <v>Rubén, Márquez Fajardo</v>
      </c>
      <c r="E73" s="6"/>
      <c r="O73" s="1"/>
    </row>
    <row r="74" spans="1:15" x14ac:dyDescent="0.25">
      <c r="A74" s="4">
        <v>77814369</v>
      </c>
      <c r="B74" s="2" t="s">
        <v>141</v>
      </c>
      <c r="C74" s="2" t="s">
        <v>142</v>
      </c>
      <c r="D74" s="6" t="str">
        <f t="shared" si="1"/>
        <v>José Daniel, Márquez Woo</v>
      </c>
      <c r="E74" s="6"/>
      <c r="O74" s="1"/>
    </row>
    <row r="75" spans="1:15" x14ac:dyDescent="0.25">
      <c r="A75" s="4">
        <v>74686453</v>
      </c>
      <c r="B75" s="2" t="s">
        <v>143</v>
      </c>
      <c r="C75" s="2" t="s">
        <v>144</v>
      </c>
      <c r="D75" s="6" t="str">
        <f t="shared" si="1"/>
        <v>Elisabert, Martín</v>
      </c>
      <c r="E75" s="6"/>
      <c r="O75" s="1"/>
    </row>
    <row r="76" spans="1:15" x14ac:dyDescent="0.25">
      <c r="A76" s="4">
        <v>76880904</v>
      </c>
      <c r="B76" s="2" t="s">
        <v>145</v>
      </c>
      <c r="C76" s="2" t="s">
        <v>146</v>
      </c>
      <c r="D76" s="6" t="str">
        <f t="shared" si="1"/>
        <v>Lucía, Martín-Andino García</v>
      </c>
      <c r="E76" s="6"/>
      <c r="O76" s="1"/>
    </row>
    <row r="77" spans="1:15" x14ac:dyDescent="0.25">
      <c r="A77" s="4">
        <v>48915200</v>
      </c>
      <c r="B77" s="2" t="s">
        <v>147</v>
      </c>
      <c r="C77" s="2" t="s">
        <v>148</v>
      </c>
      <c r="D77" s="6" t="str">
        <f t="shared" si="1"/>
        <v>Francisco Javier, Martínez Acevedo</v>
      </c>
      <c r="E77" s="6"/>
      <c r="O77" s="1"/>
    </row>
    <row r="78" spans="1:15" x14ac:dyDescent="0.25">
      <c r="A78" s="4">
        <v>34853184</v>
      </c>
      <c r="B78" s="2" t="s">
        <v>149</v>
      </c>
      <c r="C78" s="2" t="s">
        <v>150</v>
      </c>
      <c r="D78" s="6" t="str">
        <f t="shared" si="1"/>
        <v>Francisco Manuel, Martínez Cirera</v>
      </c>
      <c r="E78" s="6"/>
      <c r="O78" s="1"/>
    </row>
    <row r="79" spans="1:15" x14ac:dyDescent="0.25">
      <c r="A79" s="4">
        <v>78689757</v>
      </c>
      <c r="B79" s="2" t="s">
        <v>151</v>
      </c>
      <c r="C79" s="2" t="s">
        <v>152</v>
      </c>
      <c r="D79" s="6" t="str">
        <f t="shared" si="1"/>
        <v>Mercedes, Martínez Sánchez</v>
      </c>
      <c r="E79" s="6"/>
      <c r="O79" s="1"/>
    </row>
    <row r="80" spans="1:15" x14ac:dyDescent="0.25">
      <c r="A80" s="4">
        <v>25345437</v>
      </c>
      <c r="B80" s="2" t="s">
        <v>153</v>
      </c>
      <c r="C80" s="2" t="s">
        <v>154</v>
      </c>
      <c r="D80" s="6" t="str">
        <f t="shared" si="1"/>
        <v>Ana Alicia, Martín Sánchez</v>
      </c>
      <c r="E80" s="6"/>
      <c r="O80" s="1"/>
    </row>
    <row r="81" spans="1:15" x14ac:dyDescent="0.25">
      <c r="A81" s="4">
        <v>26222981</v>
      </c>
      <c r="B81" s="2" t="s">
        <v>155</v>
      </c>
      <c r="C81" s="2" t="s">
        <v>156</v>
      </c>
      <c r="D81" s="6" t="str">
        <f t="shared" si="1"/>
        <v>Juana José, Martos Rentero</v>
      </c>
      <c r="E81" s="6"/>
      <c r="O81" s="1"/>
    </row>
    <row r="82" spans="1:15" x14ac:dyDescent="0.25">
      <c r="A82" s="4">
        <v>77846435</v>
      </c>
      <c r="B82" s="2" t="s">
        <v>157</v>
      </c>
      <c r="C82" s="2" t="s">
        <v>158</v>
      </c>
      <c r="D82" s="6" t="str">
        <f t="shared" si="1"/>
        <v>Elena, Maté Mateos</v>
      </c>
      <c r="E82" s="6"/>
      <c r="O82" s="1"/>
    </row>
    <row r="83" spans="1:15" x14ac:dyDescent="0.25">
      <c r="A83" s="4">
        <v>52286785</v>
      </c>
      <c r="B83" s="2" t="s">
        <v>159</v>
      </c>
      <c r="C83" s="2" t="s">
        <v>160</v>
      </c>
      <c r="D83" s="6" t="str">
        <f t="shared" si="1"/>
        <v>Evelin, Mayorga Vera</v>
      </c>
      <c r="E83" s="6"/>
      <c r="O83" s="1"/>
    </row>
    <row r="84" spans="1:15" x14ac:dyDescent="0.25">
      <c r="A84" s="4">
        <v>53431139</v>
      </c>
      <c r="B84" s="2" t="s">
        <v>161</v>
      </c>
      <c r="C84" s="2" t="s">
        <v>162</v>
      </c>
      <c r="D84" s="6" t="str">
        <f t="shared" si="1"/>
        <v>Sara, Medina Salas</v>
      </c>
      <c r="E84" s="6"/>
      <c r="O84" s="1"/>
    </row>
    <row r="85" spans="1:15" x14ac:dyDescent="0.25">
      <c r="A85" s="4">
        <v>48883263</v>
      </c>
      <c r="B85" s="2" t="s">
        <v>163</v>
      </c>
      <c r="C85" s="2" t="s">
        <v>164</v>
      </c>
      <c r="D85" s="6" t="str">
        <f t="shared" si="1"/>
        <v>Luis Manuel, Meléndez Alonso</v>
      </c>
      <c r="E85" s="6"/>
      <c r="O85" s="1"/>
    </row>
    <row r="86" spans="1:15" x14ac:dyDescent="0.25">
      <c r="A86" s="4">
        <v>30966453</v>
      </c>
      <c r="B86" s="2" t="s">
        <v>165</v>
      </c>
      <c r="C86" s="2" t="s">
        <v>166</v>
      </c>
      <c r="D86" s="6" t="str">
        <f t="shared" si="1"/>
        <v>Rocío, Merino Gómez</v>
      </c>
      <c r="E86" s="6"/>
      <c r="O86" s="1"/>
    </row>
    <row r="87" spans="1:15" x14ac:dyDescent="0.25">
      <c r="A87" s="4">
        <v>80154778</v>
      </c>
      <c r="B87" s="2" t="s">
        <v>167</v>
      </c>
      <c r="C87" s="2" t="s">
        <v>168</v>
      </c>
      <c r="D87" s="6" t="str">
        <f t="shared" si="1"/>
        <v>Auxiliadora, Mesa Delgado</v>
      </c>
      <c r="E87" s="6"/>
      <c r="O87" s="1"/>
    </row>
    <row r="88" spans="1:15" x14ac:dyDescent="0.25">
      <c r="A88" s="4">
        <v>26211627</v>
      </c>
      <c r="B88" s="2" t="s">
        <v>169</v>
      </c>
      <c r="C88" s="2" t="s">
        <v>170</v>
      </c>
      <c r="D88" s="6" t="str">
        <f t="shared" si="1"/>
        <v>María del Pilar, Mesa Navío</v>
      </c>
      <c r="E88" s="6"/>
      <c r="O88" s="1"/>
    </row>
    <row r="89" spans="1:15" x14ac:dyDescent="0.25">
      <c r="A89" s="4">
        <v>75950070</v>
      </c>
      <c r="B89" s="2" t="s">
        <v>67</v>
      </c>
      <c r="C89" s="2" t="s">
        <v>171</v>
      </c>
      <c r="D89" s="6" t="str">
        <f t="shared" si="1"/>
        <v>Isabel, Milán Domínguez</v>
      </c>
      <c r="E89" s="6"/>
      <c r="O89" s="1"/>
    </row>
    <row r="90" spans="1:15" x14ac:dyDescent="0.25">
      <c r="A90" s="4">
        <v>53260590</v>
      </c>
      <c r="B90" s="2" t="s">
        <v>172</v>
      </c>
      <c r="C90" s="2" t="s">
        <v>173</v>
      </c>
      <c r="D90" s="6" t="str">
        <f t="shared" si="1"/>
        <v>Samantha, Miranda Moñino</v>
      </c>
      <c r="E90" s="6"/>
      <c r="O90" s="1"/>
    </row>
    <row r="91" spans="1:15" x14ac:dyDescent="0.25">
      <c r="A91" s="4">
        <v>77142181</v>
      </c>
      <c r="B91" s="2" t="s">
        <v>174</v>
      </c>
      <c r="C91" s="2" t="s">
        <v>175</v>
      </c>
      <c r="D91" s="6" t="str">
        <f t="shared" si="1"/>
        <v>Neiva, Molina Ocaña</v>
      </c>
      <c r="E91" s="6"/>
      <c r="O91" s="1"/>
    </row>
    <row r="92" spans="1:15" x14ac:dyDescent="0.25">
      <c r="A92" s="4">
        <v>26014856</v>
      </c>
      <c r="B92" s="2" t="s">
        <v>124</v>
      </c>
      <c r="C92" s="2" t="s">
        <v>176</v>
      </c>
      <c r="D92" s="6" t="str">
        <f t="shared" si="1"/>
        <v>Jesús, Molina Porlán</v>
      </c>
      <c r="E92" s="6"/>
      <c r="O92" s="1"/>
    </row>
    <row r="93" spans="1:15" x14ac:dyDescent="0.25">
      <c r="A93" s="4">
        <v>53709718</v>
      </c>
      <c r="B93" s="2" t="s">
        <v>88</v>
      </c>
      <c r="C93" s="2" t="s">
        <v>177</v>
      </c>
      <c r="D93" s="6" t="str">
        <f t="shared" si="1"/>
        <v>María José, Montero Ramírez</v>
      </c>
      <c r="E93" s="6"/>
      <c r="O93" s="1"/>
    </row>
    <row r="94" spans="1:15" x14ac:dyDescent="0.25">
      <c r="A94" s="4">
        <v>44282726</v>
      </c>
      <c r="B94" s="2" t="s">
        <v>86</v>
      </c>
      <c r="C94" s="2" t="s">
        <v>178</v>
      </c>
      <c r="D94" s="6" t="str">
        <f t="shared" si="1"/>
        <v>Antonia, Montes Morales</v>
      </c>
      <c r="E94" s="6"/>
      <c r="O94" s="1"/>
    </row>
    <row r="95" spans="1:15" x14ac:dyDescent="0.25">
      <c r="A95" s="4">
        <v>75710609</v>
      </c>
      <c r="B95" s="2" t="s">
        <v>5</v>
      </c>
      <c r="C95" s="2" t="s">
        <v>179</v>
      </c>
      <c r="D95" s="6" t="str">
        <f t="shared" si="1"/>
        <v>Marta, Moreno Larrubia</v>
      </c>
      <c r="E95" s="6"/>
      <c r="O95" s="1"/>
    </row>
    <row r="96" spans="1:15" x14ac:dyDescent="0.25">
      <c r="A96" s="4">
        <v>28921783</v>
      </c>
      <c r="B96" s="2" t="s">
        <v>88</v>
      </c>
      <c r="C96" s="2" t="s">
        <v>180</v>
      </c>
      <c r="D96" s="6" t="str">
        <f t="shared" si="1"/>
        <v>María José, Moreno Morillo</v>
      </c>
      <c r="E96" s="6"/>
      <c r="O96" s="1"/>
    </row>
    <row r="97" spans="1:15" x14ac:dyDescent="0.25">
      <c r="A97" s="4">
        <v>14322361</v>
      </c>
      <c r="B97" s="2" t="s">
        <v>165</v>
      </c>
      <c r="C97" s="2" t="s">
        <v>181</v>
      </c>
      <c r="D97" s="6" t="str">
        <f t="shared" si="1"/>
        <v>Rocío, Oliva Bermúdez</v>
      </c>
      <c r="E97" s="6"/>
      <c r="O97" s="1"/>
    </row>
    <row r="98" spans="1:15" x14ac:dyDescent="0.25">
      <c r="A98" s="4">
        <v>74678955</v>
      </c>
      <c r="B98" s="2" t="s">
        <v>182</v>
      </c>
      <c r="C98" s="2" t="s">
        <v>183</v>
      </c>
      <c r="D98" s="6" t="str">
        <f t="shared" si="1"/>
        <v>María Rosario, Ortega Saldaña</v>
      </c>
      <c r="E98" s="6"/>
      <c r="O98" s="1"/>
    </row>
    <row r="99" spans="1:15" x14ac:dyDescent="0.25">
      <c r="A99" s="4">
        <v>26497038</v>
      </c>
      <c r="B99" s="2" t="s">
        <v>184</v>
      </c>
      <c r="C99" s="2" t="s">
        <v>185</v>
      </c>
      <c r="D99" s="6" t="str">
        <f t="shared" si="1"/>
        <v>José Luis, Ortiz Palacios</v>
      </c>
      <c r="E99" s="6"/>
      <c r="O99" s="1"/>
    </row>
    <row r="100" spans="1:15" x14ac:dyDescent="0.25">
      <c r="A100" s="4">
        <v>24231190</v>
      </c>
      <c r="B100" s="2" t="s">
        <v>186</v>
      </c>
      <c r="C100" s="2" t="s">
        <v>187</v>
      </c>
      <c r="D100" s="6" t="str">
        <f t="shared" si="1"/>
        <v>Leticia, Padial González</v>
      </c>
      <c r="E100" s="6"/>
      <c r="O100" s="1"/>
    </row>
    <row r="101" spans="1:15" x14ac:dyDescent="0.25">
      <c r="A101" s="4">
        <v>48907185</v>
      </c>
      <c r="B101" s="2" t="s">
        <v>124</v>
      </c>
      <c r="C101" s="2" t="s">
        <v>188</v>
      </c>
      <c r="D101" s="6" t="str">
        <f t="shared" si="1"/>
        <v>Jesús, Palacios Escalera</v>
      </c>
      <c r="E101" s="6"/>
      <c r="O101" s="1"/>
    </row>
    <row r="102" spans="1:15" x14ac:dyDescent="0.25">
      <c r="A102" s="4">
        <v>30421819</v>
      </c>
      <c r="B102" s="2" t="s">
        <v>189</v>
      </c>
      <c r="C102" s="2" t="s">
        <v>190</v>
      </c>
      <c r="D102" s="6" t="str">
        <f t="shared" si="1"/>
        <v>María Dolores, Pascual Martín</v>
      </c>
      <c r="E102" s="6"/>
      <c r="O102" s="1"/>
    </row>
    <row r="103" spans="1:15" x14ac:dyDescent="0.25">
      <c r="A103" s="4">
        <v>53698764</v>
      </c>
      <c r="B103" s="2" t="s">
        <v>3</v>
      </c>
      <c r="C103" s="2" t="s">
        <v>191</v>
      </c>
      <c r="D103" s="6" t="str">
        <f t="shared" si="1"/>
        <v>Sergio, Peral Martín</v>
      </c>
      <c r="E103" s="6"/>
      <c r="O103" s="1"/>
    </row>
    <row r="104" spans="1:15" x14ac:dyDescent="0.25">
      <c r="A104" s="4">
        <v>74665400</v>
      </c>
      <c r="B104" s="2" t="s">
        <v>192</v>
      </c>
      <c r="C104" s="2" t="s">
        <v>193</v>
      </c>
      <c r="D104" s="6" t="str">
        <f t="shared" si="1"/>
        <v>Adela, Peregrina Peregrina</v>
      </c>
      <c r="E104" s="6"/>
      <c r="O104" s="1"/>
    </row>
    <row r="105" spans="1:15" x14ac:dyDescent="0.25">
      <c r="A105" s="4">
        <v>75271705</v>
      </c>
      <c r="B105" s="2" t="s">
        <v>194</v>
      </c>
      <c r="C105" s="2" t="s">
        <v>195</v>
      </c>
      <c r="D105" s="6" t="str">
        <f t="shared" si="1"/>
        <v>Manuel Jesús, Pérez Cantón</v>
      </c>
      <c r="E105" s="6"/>
      <c r="O105" s="1"/>
    </row>
    <row r="106" spans="1:15" x14ac:dyDescent="0.25">
      <c r="A106" s="4">
        <v>74914560</v>
      </c>
      <c r="B106" s="2" t="s">
        <v>22</v>
      </c>
      <c r="C106" s="2" t="s">
        <v>196</v>
      </c>
      <c r="D106" s="6" t="str">
        <f t="shared" si="1"/>
        <v>María Isabel, Pérez Martín</v>
      </c>
      <c r="E106" s="6"/>
      <c r="O106" s="1"/>
    </row>
    <row r="107" spans="1:15" x14ac:dyDescent="0.25">
      <c r="A107" s="4">
        <v>29795301</v>
      </c>
      <c r="B107" s="2" t="s">
        <v>197</v>
      </c>
      <c r="C107" s="2" t="s">
        <v>198</v>
      </c>
      <c r="D107" s="6" t="str">
        <f t="shared" si="1"/>
        <v>Rosalinda, Polo Cumbreras</v>
      </c>
      <c r="E107" s="6"/>
      <c r="O107" s="1"/>
    </row>
    <row r="108" spans="1:15" x14ac:dyDescent="0.25">
      <c r="A108" s="4">
        <v>15473110</v>
      </c>
      <c r="B108" s="2" t="s">
        <v>199</v>
      </c>
      <c r="C108" s="2" t="s">
        <v>200</v>
      </c>
      <c r="D108" s="6" t="str">
        <f t="shared" si="1"/>
        <v>Pablo Gilberto, Polo Jiménez</v>
      </c>
      <c r="E108" s="6"/>
      <c r="O108" s="1"/>
    </row>
    <row r="109" spans="1:15" x14ac:dyDescent="0.25">
      <c r="A109" s="4">
        <v>29485561</v>
      </c>
      <c r="B109" s="2" t="s">
        <v>201</v>
      </c>
      <c r="C109" s="2" t="s">
        <v>202</v>
      </c>
      <c r="D109" s="6" t="str">
        <f t="shared" si="1"/>
        <v>Ana María, Prieto Contreras</v>
      </c>
      <c r="E109" s="6"/>
      <c r="O109" s="1"/>
    </row>
    <row r="110" spans="1:15" x14ac:dyDescent="0.25">
      <c r="A110" s="4">
        <v>51999511</v>
      </c>
      <c r="B110" s="2" t="s">
        <v>203</v>
      </c>
      <c r="C110" s="2" t="s">
        <v>204</v>
      </c>
      <c r="D110" s="6" t="str">
        <f t="shared" si="1"/>
        <v>Marcos, Prieto Coronado</v>
      </c>
      <c r="E110" s="6"/>
      <c r="O110" s="1"/>
    </row>
    <row r="111" spans="1:15" x14ac:dyDescent="0.25">
      <c r="A111" s="4">
        <v>74744362</v>
      </c>
      <c r="B111" s="2" t="s">
        <v>205</v>
      </c>
      <c r="C111" s="2" t="s">
        <v>206</v>
      </c>
      <c r="D111" s="6" t="str">
        <f t="shared" si="1"/>
        <v>Raquel, Reyes López</v>
      </c>
      <c r="E111" s="6"/>
      <c r="O111" s="1"/>
    </row>
    <row r="112" spans="1:15" x14ac:dyDescent="0.25">
      <c r="A112" s="4">
        <v>74718331</v>
      </c>
      <c r="B112" s="2" t="s">
        <v>88</v>
      </c>
      <c r="C112" s="2" t="s">
        <v>207</v>
      </c>
      <c r="D112" s="6" t="str">
        <f t="shared" si="1"/>
        <v>María José, Reyes Rodríguez</v>
      </c>
      <c r="E112" s="6"/>
      <c r="O112" s="1"/>
    </row>
    <row r="113" spans="1:15" x14ac:dyDescent="0.25">
      <c r="A113" s="4">
        <v>25738611</v>
      </c>
      <c r="B113" s="2" t="s">
        <v>208</v>
      </c>
      <c r="C113" s="2" t="s">
        <v>209</v>
      </c>
      <c r="D113" s="6" t="str">
        <f t="shared" si="1"/>
        <v>Daniel, Rico Castillo</v>
      </c>
      <c r="E113" s="6"/>
      <c r="O113" s="1"/>
    </row>
    <row r="114" spans="1:15" x14ac:dyDescent="0.25">
      <c r="A114" s="4">
        <v>53670593</v>
      </c>
      <c r="B114" s="2" t="s">
        <v>169</v>
      </c>
      <c r="C114" s="2" t="s">
        <v>210</v>
      </c>
      <c r="D114" s="6" t="str">
        <f t="shared" si="1"/>
        <v>María del Pilar, Ríos Martín</v>
      </c>
      <c r="E114" s="6"/>
      <c r="O114" s="1"/>
    </row>
    <row r="115" spans="1:15" x14ac:dyDescent="0.25">
      <c r="A115" s="4">
        <v>45604364</v>
      </c>
      <c r="B115" s="2" t="s">
        <v>211</v>
      </c>
      <c r="C115" s="2" t="s">
        <v>212</v>
      </c>
      <c r="D115" s="6" t="str">
        <f t="shared" si="1"/>
        <v>Baltasar, Rodríguez Jiménez</v>
      </c>
      <c r="E115" s="6"/>
      <c r="O115" s="1"/>
    </row>
    <row r="116" spans="1:15" x14ac:dyDescent="0.25">
      <c r="A116" s="4">
        <v>34049617</v>
      </c>
      <c r="B116" s="2" t="s">
        <v>213</v>
      </c>
      <c r="C116" s="2" t="s">
        <v>214</v>
      </c>
      <c r="D116" s="6" t="str">
        <f t="shared" si="1"/>
        <v>Rosa María, Rodríguez Outón</v>
      </c>
      <c r="E116" s="6"/>
      <c r="O116" s="1"/>
    </row>
    <row r="117" spans="1:15" x14ac:dyDescent="0.25">
      <c r="A117" s="4">
        <v>28926164</v>
      </c>
      <c r="B117" s="2" t="s">
        <v>3</v>
      </c>
      <c r="C117" s="2" t="s">
        <v>215</v>
      </c>
      <c r="D117" s="6" t="str">
        <f t="shared" si="1"/>
        <v>Sergio, Rodríguez Roca</v>
      </c>
      <c r="E117" s="6"/>
      <c r="O117" s="1"/>
    </row>
    <row r="118" spans="1:15" x14ac:dyDescent="0.25">
      <c r="A118" s="4">
        <v>17468143</v>
      </c>
      <c r="B118" s="2" t="s">
        <v>216</v>
      </c>
      <c r="C118" s="2" t="s">
        <v>217</v>
      </c>
      <c r="D118" s="6" t="str">
        <f t="shared" si="1"/>
        <v>Yanira, Rojo González</v>
      </c>
      <c r="E118" s="6"/>
      <c r="O118" s="1"/>
    </row>
    <row r="119" spans="1:15" x14ac:dyDescent="0.25">
      <c r="A119" s="4">
        <v>47006811</v>
      </c>
      <c r="B119" s="2" t="s">
        <v>218</v>
      </c>
      <c r="C119" s="2" t="s">
        <v>219</v>
      </c>
      <c r="D119" s="6" t="str">
        <f t="shared" si="1"/>
        <v>Juan Manuel, Roldán De las Heras</v>
      </c>
      <c r="E119" s="6"/>
      <c r="O119" s="1"/>
    </row>
    <row r="120" spans="1:15" x14ac:dyDescent="0.25">
      <c r="A120" s="4">
        <v>31719305</v>
      </c>
      <c r="B120" s="2" t="s">
        <v>122</v>
      </c>
      <c r="C120" s="2" t="s">
        <v>220</v>
      </c>
      <c r="D120" s="6" t="str">
        <f t="shared" si="1"/>
        <v>José, Romero Barrios</v>
      </c>
      <c r="E120" s="6"/>
      <c r="O120" s="1"/>
    </row>
    <row r="121" spans="1:15" x14ac:dyDescent="0.25">
      <c r="A121" s="4">
        <v>49137617</v>
      </c>
      <c r="B121" s="2" t="s">
        <v>76</v>
      </c>
      <c r="C121" s="2" t="s">
        <v>221</v>
      </c>
      <c r="D121" s="6" t="str">
        <f t="shared" si="1"/>
        <v>Marina, Romero Torres</v>
      </c>
      <c r="E121" s="6"/>
      <c r="O121" s="1"/>
    </row>
    <row r="122" spans="1:15" x14ac:dyDescent="0.25">
      <c r="A122" s="4">
        <v>53580292</v>
      </c>
      <c r="B122" s="2" t="s">
        <v>222</v>
      </c>
      <c r="C122" s="2" t="s">
        <v>223</v>
      </c>
      <c r="D122" s="6" t="str">
        <f t="shared" si="1"/>
        <v>Noelia Veróncia, Ros Laynez</v>
      </c>
      <c r="E122" s="6"/>
      <c r="O122" s="1"/>
    </row>
    <row r="123" spans="1:15" x14ac:dyDescent="0.25">
      <c r="A123" s="4">
        <v>44050107</v>
      </c>
      <c r="B123" s="2" t="s">
        <v>224</v>
      </c>
      <c r="C123" s="2" t="s">
        <v>225</v>
      </c>
      <c r="D123" s="6" t="str">
        <f t="shared" si="1"/>
        <v>María Belén, Rubiales Salas</v>
      </c>
      <c r="E123" s="6"/>
      <c r="O123" s="1"/>
    </row>
    <row r="124" spans="1:15" x14ac:dyDescent="0.25">
      <c r="A124" s="4">
        <v>47392707</v>
      </c>
      <c r="B124" s="2" t="s">
        <v>112</v>
      </c>
      <c r="C124" s="2" t="s">
        <v>226</v>
      </c>
      <c r="D124" s="6" t="str">
        <f t="shared" si="1"/>
        <v>Pablo, Rubio De Madariaga</v>
      </c>
      <c r="O124" s="1"/>
    </row>
    <row r="125" spans="1:15" x14ac:dyDescent="0.25">
      <c r="A125" s="4">
        <v>75151429</v>
      </c>
      <c r="B125" s="2" t="s">
        <v>227</v>
      </c>
      <c r="C125" s="2" t="s">
        <v>228</v>
      </c>
      <c r="D125" s="6" t="str">
        <f t="shared" si="1"/>
        <v>Francisco David, Rubio Sánchez</v>
      </c>
      <c r="O125" s="1"/>
    </row>
    <row r="126" spans="1:15" x14ac:dyDescent="0.25">
      <c r="A126" s="4">
        <v>30962741</v>
      </c>
      <c r="B126" s="2" t="s">
        <v>147</v>
      </c>
      <c r="C126" s="2" t="s">
        <v>229</v>
      </c>
      <c r="D126" s="6" t="str">
        <f t="shared" si="1"/>
        <v>Francisco Javier, Ruiz Contreras</v>
      </c>
      <c r="O126" s="1"/>
    </row>
    <row r="127" spans="1:15" x14ac:dyDescent="0.25">
      <c r="A127" s="4">
        <v>31013624</v>
      </c>
      <c r="B127" s="2" t="s">
        <v>230</v>
      </c>
      <c r="C127" s="2" t="s">
        <v>231</v>
      </c>
      <c r="D127" s="6" t="str">
        <f t="shared" si="1"/>
        <v>Blanca María, Salces Mariscal</v>
      </c>
      <c r="O127" s="1"/>
    </row>
    <row r="128" spans="1:15" x14ac:dyDescent="0.25">
      <c r="A128" s="4">
        <v>75917222</v>
      </c>
      <c r="B128" s="2" t="s">
        <v>232</v>
      </c>
      <c r="C128" s="2" t="s">
        <v>233</v>
      </c>
      <c r="D128" s="6" t="str">
        <f t="shared" si="1"/>
        <v>Manoah Misael, Sánchez Beas Pérez de Tudela</v>
      </c>
      <c r="O128" s="1"/>
    </row>
    <row r="129" spans="1:15" x14ac:dyDescent="0.25">
      <c r="A129" s="4">
        <v>31720430</v>
      </c>
      <c r="B129" s="2" t="s">
        <v>234</v>
      </c>
      <c r="C129" s="2" t="s">
        <v>235</v>
      </c>
      <c r="D129" s="6" t="str">
        <f t="shared" si="1"/>
        <v>Víctor Manuel, Sánchez Jiménez</v>
      </c>
      <c r="O129" s="1"/>
    </row>
    <row r="130" spans="1:15" x14ac:dyDescent="0.25">
      <c r="A130" s="4">
        <v>47510283</v>
      </c>
      <c r="B130" s="2" t="s">
        <v>174</v>
      </c>
      <c r="C130" s="2" t="s">
        <v>236</v>
      </c>
      <c r="D130" s="6" t="str">
        <f t="shared" si="1"/>
        <v>Neiva, Sánchez Muñoz</v>
      </c>
      <c r="O130" s="1"/>
    </row>
    <row r="131" spans="1:15" x14ac:dyDescent="0.25">
      <c r="A131" s="4">
        <v>75264649</v>
      </c>
      <c r="B131" s="2" t="s">
        <v>237</v>
      </c>
      <c r="C131" s="2" t="s">
        <v>238</v>
      </c>
      <c r="D131" s="6" t="str">
        <f t="shared" si="1"/>
        <v>Laura, Segura García</v>
      </c>
      <c r="O131" s="1"/>
    </row>
    <row r="132" spans="1:15" x14ac:dyDescent="0.25">
      <c r="A132" s="1">
        <v>9147804</v>
      </c>
      <c r="B132" s="2" t="s">
        <v>76</v>
      </c>
      <c r="C132" s="2" t="s">
        <v>239</v>
      </c>
      <c r="D132" s="6" t="str">
        <f t="shared" ref="D132:D144" si="2" xml:space="preserve"> CONCATENATE(B132,", ",C132)</f>
        <v>Marina, Serdobintseva</v>
      </c>
      <c r="O132" s="1"/>
    </row>
    <row r="133" spans="1:15" x14ac:dyDescent="0.25">
      <c r="A133" s="4">
        <v>45744971</v>
      </c>
      <c r="B133" s="2" t="s">
        <v>63</v>
      </c>
      <c r="C133" s="2" t="s">
        <v>240</v>
      </c>
      <c r="D133" s="6" t="str">
        <f t="shared" si="2"/>
        <v>Inmaculada, Serrano Lara</v>
      </c>
      <c r="O133" s="1"/>
    </row>
    <row r="134" spans="1:15" x14ac:dyDescent="0.25">
      <c r="A134" s="4">
        <v>28822388</v>
      </c>
      <c r="B134" s="2" t="s">
        <v>124</v>
      </c>
      <c r="C134" s="2" t="s">
        <v>241</v>
      </c>
      <c r="D134" s="6" t="str">
        <f t="shared" si="2"/>
        <v>Jesús, Silva Avilés</v>
      </c>
      <c r="O134" s="1"/>
    </row>
    <row r="135" spans="1:15" x14ac:dyDescent="0.25">
      <c r="A135" s="4">
        <v>26515965</v>
      </c>
      <c r="B135" s="2" t="s">
        <v>242</v>
      </c>
      <c r="C135" s="2" t="s">
        <v>243</v>
      </c>
      <c r="D135" s="6" t="str">
        <f t="shared" si="2"/>
        <v>Germán Duglas, Soledispa Intriago</v>
      </c>
      <c r="O135" s="1"/>
    </row>
    <row r="136" spans="1:15" x14ac:dyDescent="0.25">
      <c r="A136" s="4">
        <v>74862439</v>
      </c>
      <c r="B136" s="2" t="s">
        <v>237</v>
      </c>
      <c r="C136" s="2" t="s">
        <v>244</v>
      </c>
      <c r="D136" s="6" t="str">
        <f t="shared" si="2"/>
        <v>Laura, Suviri Muñoz</v>
      </c>
      <c r="O136" s="1"/>
    </row>
    <row r="137" spans="1:15" x14ac:dyDescent="0.25">
      <c r="A137" s="4">
        <v>77818901</v>
      </c>
      <c r="B137" s="2" t="s">
        <v>245</v>
      </c>
      <c r="C137" s="2" t="s">
        <v>246</v>
      </c>
      <c r="D137" s="6" t="str">
        <f t="shared" si="2"/>
        <v>María de la Soledad, Tellado Frías</v>
      </c>
      <c r="O137" s="1"/>
    </row>
    <row r="138" spans="1:15" x14ac:dyDescent="0.25">
      <c r="A138" s="4">
        <v>28761341</v>
      </c>
      <c r="B138" s="2" t="s">
        <v>247</v>
      </c>
      <c r="C138" s="2" t="s">
        <v>248</v>
      </c>
      <c r="D138" s="6" t="str">
        <f t="shared" si="2"/>
        <v>Jorge, Vázquez Cotán</v>
      </c>
      <c r="O138" s="1"/>
    </row>
    <row r="139" spans="1:15" x14ac:dyDescent="0.25">
      <c r="A139" s="4">
        <v>78981649</v>
      </c>
      <c r="B139" s="2" t="s">
        <v>208</v>
      </c>
      <c r="C139" s="2" t="s">
        <v>249</v>
      </c>
      <c r="D139" s="6" t="str">
        <f t="shared" si="2"/>
        <v>Daniel, Vera Ayala</v>
      </c>
      <c r="O139" s="1"/>
    </row>
    <row r="140" spans="1:15" x14ac:dyDescent="0.25">
      <c r="A140" s="4">
        <v>28630810</v>
      </c>
      <c r="B140" s="2" t="s">
        <v>88</v>
      </c>
      <c r="C140" s="2" t="s">
        <v>250</v>
      </c>
      <c r="D140" s="6" t="str">
        <f t="shared" si="2"/>
        <v>María José, Villalba Chico</v>
      </c>
      <c r="O140" s="1"/>
    </row>
    <row r="141" spans="1:15" x14ac:dyDescent="0.25">
      <c r="A141" s="4">
        <v>20503927</v>
      </c>
      <c r="B141" s="2" t="s">
        <v>251</v>
      </c>
      <c r="C141" s="2" t="s">
        <v>252</v>
      </c>
      <c r="D141" s="6" t="str">
        <f t="shared" si="2"/>
        <v>Gabriela Katherine, Wong Molero</v>
      </c>
      <c r="O141" s="1"/>
    </row>
    <row r="142" spans="1:15" x14ac:dyDescent="0.25">
      <c r="A142" s="4">
        <v>14276132</v>
      </c>
      <c r="B142" s="2" t="s">
        <v>120</v>
      </c>
      <c r="C142" s="2" t="s">
        <v>253</v>
      </c>
      <c r="D142" s="6" t="str">
        <f t="shared" si="2"/>
        <v>Alba, Zamora Moreno</v>
      </c>
      <c r="O142" s="1"/>
    </row>
    <row r="143" spans="1:15" x14ac:dyDescent="0.25">
      <c r="A143" s="4">
        <v>31722602</v>
      </c>
      <c r="B143" s="2" t="s">
        <v>67</v>
      </c>
      <c r="C143" s="2" t="s">
        <v>254</v>
      </c>
      <c r="D143" s="6" t="str">
        <f t="shared" si="2"/>
        <v>Isabel, Zarco Linares</v>
      </c>
      <c r="O143" s="1"/>
    </row>
    <row r="144" spans="1:15" x14ac:dyDescent="0.25">
      <c r="A144" s="1">
        <v>75544079</v>
      </c>
      <c r="B144" s="1" t="s">
        <v>255</v>
      </c>
      <c r="C144" s="1" t="s">
        <v>256</v>
      </c>
      <c r="D144" s="1" t="str">
        <f t="shared" si="2"/>
        <v>nombre, apellidos</v>
      </c>
    </row>
  </sheetData>
  <sheetProtection formatCells="0" formatColumns="0" formatRows="0" insertColumns="0" insertRows="0" insertHyperlinks="0" deleteColumns="0" deleteRows="0" sort="0" autoFilter="0" pivotTables="0"/>
  <protectedRanges>
    <protectedRange sqref="D2:E2" name="Rango1"/>
  </protectedRanges>
  <customSheetViews>
    <customSheetView guid="{C4A4410C-4878-4479-83AC-0B044EAF1DA6}" showGridLines="0" hiddenRows="1" hiddenColumns="1" topLeftCell="F2">
      <selection activeCell="G3" sqref="G3"/>
      <pageMargins left="0.7" right="0.7" top="0.75" bottom="0.75" header="0.3" footer="0.3"/>
      <pageSetup paperSize="9" orientation="portrait" r:id="rId1"/>
    </customSheetView>
  </customSheetViews>
  <mergeCells count="2">
    <mergeCell ref="F4:G9"/>
    <mergeCell ref="G13:G21"/>
  </mergeCells>
  <conditionalFormatting sqref="J7:L7">
    <cfRule type="expression" dxfId="2" priority="2">
      <formula>""</formula>
    </cfRule>
    <cfRule type="cellIs" dxfId="1" priority="3" operator="equal">
      <formula>""""""</formula>
    </cfRule>
  </conditionalFormatting>
  <dataValidations count="2">
    <dataValidation type="list" showDropDown="1" showInputMessage="1" showErrorMessage="1" sqref="G12">
      <formula1>#REF!</formula1>
    </dataValidation>
    <dataValidation type="list" allowBlank="1" showDropDown="1" showInputMessage="1" showErrorMessage="1" errorTitle="DNI no registrado" error="DNI no registrado" sqref="F3">
      <formula1>$A$3:$A$144</formula1>
    </dataValidation>
  </dataValidation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tabSelected="1" zoomScale="115" zoomScaleNormal="115" workbookViewId="0">
      <selection sqref="A1:XFD1048576"/>
    </sheetView>
  </sheetViews>
  <sheetFormatPr baseColWidth="10" defaultRowHeight="15.75" x14ac:dyDescent="0.25"/>
  <cols>
    <col min="1" max="1" width="19.25" style="75" bestFit="1" customWidth="1"/>
    <col min="2" max="2" width="11.375" style="75" bestFit="1" customWidth="1"/>
    <col min="3" max="5" width="11" style="76"/>
    <col min="6" max="6" width="11.625" style="76" bestFit="1" customWidth="1"/>
    <col min="7" max="7" width="11.625" style="76" customWidth="1"/>
    <col min="8" max="8" width="12.125" style="76" bestFit="1" customWidth="1"/>
    <col min="9" max="9" width="11" style="75" customWidth="1"/>
    <col min="10" max="10" width="11" style="75"/>
    <col min="11" max="11" width="5.875" style="75" bestFit="1" customWidth="1"/>
    <col min="12" max="12" width="11.875" style="75" bestFit="1" customWidth="1"/>
    <col min="13" max="14" width="11" style="75"/>
    <col min="15" max="15" width="15.75" style="75" bestFit="1" customWidth="1"/>
    <col min="16" max="16" width="16.75" style="75" bestFit="1" customWidth="1"/>
    <col min="17" max="16384" width="11" style="75"/>
  </cols>
  <sheetData>
    <row r="1" spans="1:14" ht="23.25" x14ac:dyDescent="0.35">
      <c r="A1" s="74" t="s">
        <v>340</v>
      </c>
      <c r="J1" s="136"/>
      <c r="K1" s="136"/>
      <c r="L1" s="136"/>
    </row>
    <row r="2" spans="1:14" ht="47.25" x14ac:dyDescent="0.25">
      <c r="A2" s="77" t="s">
        <v>319</v>
      </c>
      <c r="B2" s="78" t="s">
        <v>375</v>
      </c>
      <c r="C2" s="145" t="s">
        <v>322</v>
      </c>
      <c r="D2" s="145"/>
      <c r="E2" s="78" t="s">
        <v>355</v>
      </c>
      <c r="F2" s="145" t="s">
        <v>321</v>
      </c>
      <c r="G2" s="145"/>
      <c r="H2" s="78" t="s">
        <v>0</v>
      </c>
      <c r="I2" s="141" t="s">
        <v>328</v>
      </c>
      <c r="J2" s="140" t="s">
        <v>335</v>
      </c>
      <c r="K2" s="140"/>
      <c r="L2" s="140" t="s">
        <v>336</v>
      </c>
      <c r="M2" s="140"/>
      <c r="N2" s="140"/>
    </row>
    <row r="3" spans="1:14" ht="18.75" x14ac:dyDescent="0.35">
      <c r="A3" s="79">
        <v>43195</v>
      </c>
      <c r="B3" s="80" t="e">
        <f>1500+(Identificación!N1*Identificación!H1)</f>
        <v>#VALUE!</v>
      </c>
      <c r="C3" s="81" t="s">
        <v>323</v>
      </c>
      <c r="D3" s="82" t="e">
        <f>2.1%+(Identificación!I1/400)</f>
        <v>#VALUE!</v>
      </c>
      <c r="E3" s="138" t="e">
        <f t="shared" ref="E3:E9" si="0">(1+K3)^J3-1</f>
        <v>#VALUE!</v>
      </c>
      <c r="F3" s="83">
        <v>180</v>
      </c>
      <c r="G3" s="83" t="s">
        <v>327</v>
      </c>
      <c r="H3" s="138" t="e">
        <f t="shared" ref="H3:H9" si="1">I3-B3</f>
        <v>#VALUE!</v>
      </c>
      <c r="I3" s="138" t="e">
        <f t="shared" ref="I3:I9" si="2">B3*(1+E3)^L3</f>
        <v>#VALUE!</v>
      </c>
      <c r="J3" s="140">
        <v>3</v>
      </c>
      <c r="K3" s="140" t="e">
        <f>D3</f>
        <v>#VALUE!</v>
      </c>
      <c r="L3" s="140">
        <f>F3/360</f>
        <v>0.5</v>
      </c>
      <c r="M3" s="140"/>
      <c r="N3" s="140"/>
    </row>
    <row r="4" spans="1:14" ht="18.75" x14ac:dyDescent="0.35">
      <c r="A4" s="79">
        <f>A3+4</f>
        <v>43199</v>
      </c>
      <c r="B4" s="138" t="e">
        <f>B3*(1+Identificación!N1/100)</f>
        <v>#VALUE!</v>
      </c>
      <c r="C4" s="81" t="s">
        <v>329</v>
      </c>
      <c r="D4" s="85" t="e">
        <f>D3+0.01</f>
        <v>#VALUE!</v>
      </c>
      <c r="E4" s="138" t="e">
        <f t="shared" si="0"/>
        <v>#VALUE!</v>
      </c>
      <c r="F4" s="138" t="e">
        <f>F3+Identificación!N1</f>
        <v>#VALUE!</v>
      </c>
      <c r="G4" s="83" t="str">
        <f>G3</f>
        <v>días</v>
      </c>
      <c r="H4" s="80" t="e">
        <f t="shared" si="1"/>
        <v>#VALUE!</v>
      </c>
      <c r="I4" s="80" t="e">
        <f>B4*(1+E4)^L4</f>
        <v>#VALUE!</v>
      </c>
      <c r="J4" s="140">
        <v>3</v>
      </c>
      <c r="K4" s="140" t="e">
        <f>D4/J4</f>
        <v>#VALUE!</v>
      </c>
      <c r="L4" s="140" t="e">
        <f>F4/360</f>
        <v>#VALUE!</v>
      </c>
      <c r="M4" s="140"/>
      <c r="N4" s="140"/>
    </row>
    <row r="5" spans="1:14" ht="18.75" x14ac:dyDescent="0.35">
      <c r="A5" s="79">
        <v>43195</v>
      </c>
      <c r="B5" s="138" t="e">
        <f>B3+B4</f>
        <v>#VALUE!</v>
      </c>
      <c r="C5" s="81" t="s">
        <v>323</v>
      </c>
      <c r="D5" s="138" t="e">
        <f>Identificación!N1*0.1/200</f>
        <v>#VALUE!</v>
      </c>
      <c r="E5" s="86" t="e">
        <f t="shared" si="0"/>
        <v>#VALUE!</v>
      </c>
      <c r="F5" s="83">
        <v>200</v>
      </c>
      <c r="G5" s="83" t="s">
        <v>327</v>
      </c>
      <c r="H5" s="138" t="e">
        <f t="shared" si="1"/>
        <v>#VALUE!</v>
      </c>
      <c r="I5" s="80" t="e">
        <f t="shared" si="2"/>
        <v>#VALUE!</v>
      </c>
      <c r="J5" s="140">
        <v>3</v>
      </c>
      <c r="K5" s="140" t="e">
        <f>D5</f>
        <v>#VALUE!</v>
      </c>
      <c r="L5" s="140">
        <f>F5/360</f>
        <v>0.55555555555555558</v>
      </c>
      <c r="M5" s="140"/>
      <c r="N5" s="140"/>
    </row>
    <row r="6" spans="1:14" ht="18.75" x14ac:dyDescent="0.35">
      <c r="A6" s="79">
        <f t="shared" ref="A6:A9" si="3">A5+4</f>
        <v>43199</v>
      </c>
      <c r="B6" s="80" t="e">
        <f>(B4+B5)/2</f>
        <v>#VALUE!</v>
      </c>
      <c r="C6" s="81" t="s">
        <v>331</v>
      </c>
      <c r="D6" s="139" t="e">
        <f>(D3+D4+D5)/10</f>
        <v>#VALUE!</v>
      </c>
      <c r="E6" s="86" t="e">
        <f t="shared" si="0"/>
        <v>#VALUE!</v>
      </c>
      <c r="F6" s="83">
        <v>6.5</v>
      </c>
      <c r="G6" s="83" t="s">
        <v>330</v>
      </c>
      <c r="H6" s="138" t="e">
        <f t="shared" si="1"/>
        <v>#VALUE!</v>
      </c>
      <c r="I6" s="138" t="e">
        <f t="shared" si="2"/>
        <v>#VALUE!</v>
      </c>
      <c r="J6" s="140">
        <v>4</v>
      </c>
      <c r="K6" s="140" t="e">
        <f>D6</f>
        <v>#VALUE!</v>
      </c>
      <c r="L6" s="140">
        <f>F6/30</f>
        <v>0.21666666666666667</v>
      </c>
      <c r="M6" s="140"/>
      <c r="N6" s="140"/>
    </row>
    <row r="7" spans="1:14" ht="18.75" x14ac:dyDescent="0.35">
      <c r="A7" s="79">
        <f t="shared" si="3"/>
        <v>43203</v>
      </c>
      <c r="B7" s="138" t="e">
        <f t="shared" ref="B7" si="4">(B5+B6)/2</f>
        <v>#VALUE!</v>
      </c>
      <c r="C7" s="81" t="s">
        <v>333</v>
      </c>
      <c r="D7" s="82" t="e">
        <f>(D4+D3+D6)/3</f>
        <v>#VALUE!</v>
      </c>
      <c r="E7" s="138" t="e">
        <f t="shared" si="0"/>
        <v>#VALUE!</v>
      </c>
      <c r="F7" s="83">
        <v>3.5</v>
      </c>
      <c r="G7" s="83" t="s">
        <v>332</v>
      </c>
      <c r="H7" s="138" t="e">
        <f t="shared" si="1"/>
        <v>#VALUE!</v>
      </c>
      <c r="I7" s="80" t="e">
        <f t="shared" si="2"/>
        <v>#VALUE!</v>
      </c>
      <c r="J7" s="140">
        <v>12</v>
      </c>
      <c r="K7" s="140" t="e">
        <f>D7/J7</f>
        <v>#VALUE!</v>
      </c>
      <c r="L7" s="140">
        <f>F7/1</f>
        <v>3.5</v>
      </c>
      <c r="M7" s="140"/>
      <c r="N7" s="140"/>
    </row>
    <row r="8" spans="1:14" ht="18.75" x14ac:dyDescent="0.35">
      <c r="A8" s="79">
        <f t="shared" si="3"/>
        <v>43207</v>
      </c>
      <c r="B8" s="80" t="e">
        <f>(B5+B7)/2</f>
        <v>#VALUE!</v>
      </c>
      <c r="C8" s="81" t="s">
        <v>339</v>
      </c>
      <c r="D8" s="139" t="e">
        <f>(D5+D6+D7)/10</f>
        <v>#VALUE!</v>
      </c>
      <c r="E8" s="138" t="e">
        <f t="shared" si="0"/>
        <v>#VALUE!</v>
      </c>
      <c r="F8" s="83">
        <v>12.5</v>
      </c>
      <c r="G8" s="83" t="s">
        <v>334</v>
      </c>
      <c r="H8" s="80" t="e">
        <f>I8-B8</f>
        <v>#VALUE!</v>
      </c>
      <c r="I8" s="138" t="e">
        <f>B8*(1+E8)^L8</f>
        <v>#VALUE!</v>
      </c>
      <c r="J8" s="140">
        <v>6</v>
      </c>
      <c r="K8" s="140" t="e">
        <f>D8</f>
        <v>#VALUE!</v>
      </c>
      <c r="L8" s="140">
        <f>F8/4</f>
        <v>3.125</v>
      </c>
      <c r="M8" s="140"/>
      <c r="N8" s="140"/>
    </row>
    <row r="9" spans="1:14" ht="18.75" x14ac:dyDescent="0.35">
      <c r="A9" s="79">
        <f t="shared" si="3"/>
        <v>43211</v>
      </c>
      <c r="B9" s="138" t="e">
        <f>(B3+B8)/2</f>
        <v>#VALUE!</v>
      </c>
      <c r="C9" s="81" t="s">
        <v>337</v>
      </c>
      <c r="D9" s="82" t="e">
        <f>(D6+D7+D8)/2</f>
        <v>#VALUE!</v>
      </c>
      <c r="E9" s="138" t="e">
        <f t="shared" si="0"/>
        <v>#VALUE!</v>
      </c>
      <c r="F9" s="83">
        <v>7</v>
      </c>
      <c r="G9" s="83" t="s">
        <v>338</v>
      </c>
      <c r="H9" s="80" t="e">
        <f t="shared" si="1"/>
        <v>#VALUE!</v>
      </c>
      <c r="I9" s="80" t="e">
        <f t="shared" si="2"/>
        <v>#VALUE!</v>
      </c>
      <c r="J9" s="140">
        <v>2</v>
      </c>
      <c r="K9" s="140" t="e">
        <f>D9/J9</f>
        <v>#VALUE!</v>
      </c>
      <c r="L9" s="140">
        <f>F9/4</f>
        <v>1.75</v>
      </c>
      <c r="M9" s="140"/>
      <c r="N9" s="140"/>
    </row>
    <row r="10" spans="1:14" x14ac:dyDescent="0.25">
      <c r="J10" s="140"/>
      <c r="K10" s="140"/>
      <c r="L10" s="140"/>
      <c r="M10" s="140"/>
      <c r="N10" s="140"/>
    </row>
    <row r="13" spans="1:14" s="87" customFormat="1" x14ac:dyDescent="0.25">
      <c r="B13" s="140">
        <v>7.0000000000000007E-2</v>
      </c>
      <c r="C13" s="140">
        <v>96</v>
      </c>
      <c r="D13" s="140"/>
    </row>
    <row r="14" spans="1:14" ht="23.25" x14ac:dyDescent="0.35">
      <c r="A14" s="74" t="s">
        <v>367</v>
      </c>
    </row>
    <row r="15" spans="1:14" x14ac:dyDescent="0.25">
      <c r="A15" s="88" t="s">
        <v>301</v>
      </c>
      <c r="B15" s="88" t="s">
        <v>273</v>
      </c>
      <c r="C15" s="88" t="s">
        <v>275</v>
      </c>
      <c r="D15" s="88" t="s">
        <v>274</v>
      </c>
      <c r="E15" s="148" t="s">
        <v>278</v>
      </c>
      <c r="F15" s="148"/>
      <c r="G15" s="148"/>
      <c r="H15" s="148"/>
      <c r="I15" s="148"/>
      <c r="J15" s="148"/>
      <c r="K15" s="148"/>
      <c r="L15" s="148"/>
      <c r="M15" s="148"/>
      <c r="N15" s="148"/>
    </row>
    <row r="16" spans="1:14" x14ac:dyDescent="0.25">
      <c r="A16" s="89" t="s">
        <v>356</v>
      </c>
      <c r="B16" s="90" t="e">
        <f>300000-(3000*Identificación!N1)</f>
        <v>#VALUE!</v>
      </c>
      <c r="C16" s="91" t="s">
        <v>276</v>
      </c>
      <c r="D16" s="91" t="s">
        <v>277</v>
      </c>
      <c r="E16" s="91"/>
      <c r="F16" s="92"/>
      <c r="G16" s="92"/>
      <c r="H16" s="92"/>
      <c r="I16" s="93"/>
      <c r="J16" s="93"/>
      <c r="K16" s="93"/>
      <c r="L16" s="93"/>
      <c r="M16" s="93"/>
      <c r="N16" s="94"/>
    </row>
    <row r="17" spans="1:17" x14ac:dyDescent="0.25">
      <c r="A17" s="89" t="s">
        <v>288</v>
      </c>
      <c r="B17" s="90" t="e">
        <f>(B19*0.21)-(B26+B18+(B21/2))*0.21</f>
        <v>#VALUE!</v>
      </c>
      <c r="C17" s="91" t="s">
        <v>285</v>
      </c>
      <c r="D17" s="91" t="s">
        <v>289</v>
      </c>
      <c r="E17" s="91" t="s">
        <v>290</v>
      </c>
      <c r="F17" s="92"/>
      <c r="G17" s="92"/>
      <c r="H17" s="92"/>
      <c r="I17" s="93"/>
      <c r="J17" s="93"/>
      <c r="K17" s="93"/>
      <c r="L17" s="93"/>
      <c r="M17" s="93"/>
      <c r="N17" s="94"/>
    </row>
    <row r="18" spans="1:17" x14ac:dyDescent="0.25">
      <c r="A18" s="89" t="s">
        <v>268</v>
      </c>
      <c r="B18" s="90">
        <v>120</v>
      </c>
      <c r="C18" s="91" t="s">
        <v>285</v>
      </c>
      <c r="D18" s="91" t="s">
        <v>291</v>
      </c>
      <c r="E18" s="91" t="s">
        <v>292</v>
      </c>
      <c r="F18" s="92"/>
      <c r="G18" s="92"/>
      <c r="H18" s="92"/>
      <c r="I18" s="93"/>
      <c r="J18" s="93"/>
      <c r="K18" s="93"/>
      <c r="L18" s="93"/>
      <c r="M18" s="93"/>
      <c r="N18" s="94"/>
    </row>
    <row r="19" spans="1:17" x14ac:dyDescent="0.25">
      <c r="A19" s="89" t="s">
        <v>261</v>
      </c>
      <c r="B19" s="90" t="e">
        <f>B16/3</f>
        <v>#VALUE!</v>
      </c>
      <c r="C19" s="91" t="s">
        <v>279</v>
      </c>
      <c r="D19" s="91" t="s">
        <v>280</v>
      </c>
      <c r="E19" s="91" t="s">
        <v>281</v>
      </c>
      <c r="F19" s="92"/>
      <c r="G19" s="92"/>
      <c r="H19" s="92"/>
      <c r="I19" s="93"/>
      <c r="J19" s="93"/>
      <c r="K19" s="93"/>
      <c r="L19" s="93"/>
      <c r="M19" s="93"/>
      <c r="N19" s="94"/>
    </row>
    <row r="20" spans="1:17" x14ac:dyDescent="0.25">
      <c r="A20" s="89" t="s">
        <v>272</v>
      </c>
      <c r="B20" s="90" t="e">
        <f>B16/100*3</f>
        <v>#VALUE!</v>
      </c>
      <c r="C20" s="91" t="s">
        <v>283</v>
      </c>
      <c r="D20" s="91" t="s">
        <v>284</v>
      </c>
      <c r="E20" s="91"/>
      <c r="F20" s="95"/>
      <c r="G20" s="95"/>
      <c r="H20" s="92"/>
      <c r="I20" s="93"/>
      <c r="J20" s="93"/>
      <c r="K20" s="93"/>
      <c r="L20" s="93"/>
      <c r="M20" s="93"/>
      <c r="N20" s="94"/>
    </row>
    <row r="21" spans="1:17" x14ac:dyDescent="0.25">
      <c r="A21" s="89" t="s">
        <v>264</v>
      </c>
      <c r="B21" s="90" t="e">
        <f>B19/1.5</f>
        <v>#VALUE!</v>
      </c>
      <c r="C21" s="91" t="s">
        <v>279</v>
      </c>
      <c r="D21" s="91" t="s">
        <v>280</v>
      </c>
      <c r="E21" s="91" t="s">
        <v>287</v>
      </c>
      <c r="F21" s="95"/>
      <c r="G21" s="95"/>
      <c r="H21" s="92"/>
      <c r="I21" s="93"/>
      <c r="J21" s="93"/>
      <c r="K21" s="93"/>
      <c r="L21" s="93"/>
      <c r="M21" s="93"/>
      <c r="N21" s="94"/>
    </row>
    <row r="22" spans="1:17" x14ac:dyDescent="0.25">
      <c r="A22" s="89" t="s">
        <v>265</v>
      </c>
      <c r="B22" s="90">
        <v>580</v>
      </c>
      <c r="C22" s="91" t="s">
        <v>285</v>
      </c>
      <c r="D22" s="91" t="s">
        <v>286</v>
      </c>
      <c r="E22" s="91"/>
      <c r="F22" s="95"/>
      <c r="G22" s="95"/>
      <c r="H22" s="92"/>
      <c r="I22" s="93"/>
      <c r="J22" s="93"/>
      <c r="K22" s="93"/>
      <c r="L22" s="93"/>
      <c r="M22" s="93"/>
      <c r="N22" s="94"/>
    </row>
    <row r="23" spans="1:17" x14ac:dyDescent="0.25">
      <c r="A23" s="89" t="s">
        <v>262</v>
      </c>
      <c r="B23" s="90" t="e">
        <f>Identificación!N1*600</f>
        <v>#VALUE!</v>
      </c>
      <c r="C23" s="91" t="s">
        <v>282</v>
      </c>
      <c r="D23" s="91" t="s">
        <v>277</v>
      </c>
      <c r="E23" s="91"/>
      <c r="F23" s="95"/>
      <c r="G23" s="95"/>
      <c r="H23" s="92"/>
      <c r="I23" s="93"/>
      <c r="J23" s="93"/>
      <c r="K23" s="93"/>
      <c r="L23" s="93"/>
      <c r="M23" s="93"/>
      <c r="N23" s="94"/>
    </row>
    <row r="24" spans="1:17" x14ac:dyDescent="0.25">
      <c r="A24" s="89" t="s">
        <v>266</v>
      </c>
      <c r="B24" s="90" t="e">
        <f>3000+(100*Identificación!N1)</f>
        <v>#VALUE!</v>
      </c>
      <c r="C24" s="91" t="s">
        <v>279</v>
      </c>
      <c r="D24" s="91" t="s">
        <v>280</v>
      </c>
      <c r="E24" s="91" t="s">
        <v>368</v>
      </c>
      <c r="F24" s="95"/>
      <c r="G24" s="95"/>
      <c r="H24" s="92"/>
      <c r="I24" s="93"/>
      <c r="J24" s="93"/>
      <c r="K24" s="93"/>
      <c r="L24" s="93"/>
      <c r="M24" s="93"/>
      <c r="N24" s="94"/>
    </row>
    <row r="25" spans="1:17" x14ac:dyDescent="0.25">
      <c r="A25" s="89" t="s">
        <v>267</v>
      </c>
      <c r="B25" s="90" t="e">
        <f>B24*30%</f>
        <v>#VALUE!</v>
      </c>
      <c r="C25" s="91" t="s">
        <v>279</v>
      </c>
      <c r="D25" s="91" t="s">
        <v>280</v>
      </c>
      <c r="E25" s="91"/>
      <c r="F25" s="95"/>
      <c r="G25" s="95"/>
      <c r="H25" s="92"/>
      <c r="I25" s="93"/>
      <c r="J25" s="93"/>
      <c r="K25" s="93"/>
      <c r="L25" s="93"/>
      <c r="M25" s="93"/>
      <c r="N25" s="94"/>
    </row>
    <row r="26" spans="1:17" x14ac:dyDescent="0.25">
      <c r="A26" s="89" t="s">
        <v>358</v>
      </c>
      <c r="B26" s="90" t="e">
        <f>B16/1000*4</f>
        <v>#VALUE!</v>
      </c>
      <c r="C26" s="91" t="s">
        <v>279</v>
      </c>
      <c r="D26" s="91" t="s">
        <v>280</v>
      </c>
      <c r="E26" s="91"/>
      <c r="F26" s="95"/>
      <c r="G26" s="95"/>
      <c r="H26" s="92"/>
      <c r="I26" s="93"/>
      <c r="J26" s="93"/>
      <c r="K26" s="93"/>
      <c r="L26" s="93"/>
      <c r="M26" s="93"/>
      <c r="N26" s="94"/>
    </row>
    <row r="27" spans="1:17" x14ac:dyDescent="0.25">
      <c r="A27" s="89" t="s">
        <v>357</v>
      </c>
      <c r="B27" s="90" t="e">
        <f>-PMT(B13,C13,B16,0,1)</f>
        <v>#VALUE!</v>
      </c>
      <c r="C27" s="91" t="s">
        <v>282</v>
      </c>
      <c r="D27" s="91" t="s">
        <v>280</v>
      </c>
      <c r="E27" s="91"/>
      <c r="F27" s="95"/>
      <c r="G27" s="95"/>
      <c r="H27" s="92"/>
      <c r="I27" s="93"/>
      <c r="J27" s="93"/>
      <c r="K27" s="93"/>
      <c r="L27" s="93"/>
      <c r="M27" s="93"/>
      <c r="N27" s="94"/>
    </row>
    <row r="29" spans="1:17" ht="16.5" thickBot="1" x14ac:dyDescent="0.3"/>
    <row r="30" spans="1:17" ht="24" thickBot="1" x14ac:dyDescent="0.4">
      <c r="A30" s="74" t="s">
        <v>366</v>
      </c>
      <c r="J30" s="151" t="s">
        <v>362</v>
      </c>
      <c r="K30" s="152"/>
      <c r="L30" s="152"/>
      <c r="M30" s="152"/>
      <c r="N30" s="152"/>
      <c r="O30" s="152"/>
      <c r="P30" s="152"/>
      <c r="Q30" s="153"/>
    </row>
    <row r="31" spans="1:17" ht="27.75" customHeight="1" x14ac:dyDescent="0.25">
      <c r="A31" s="96" t="s">
        <v>361</v>
      </c>
      <c r="B31" s="97" t="s">
        <v>302</v>
      </c>
      <c r="C31" s="97" t="s">
        <v>303</v>
      </c>
      <c r="D31" s="97" t="s">
        <v>293</v>
      </c>
      <c r="E31" s="98" t="s">
        <v>294</v>
      </c>
      <c r="F31" s="149" t="s">
        <v>318</v>
      </c>
      <c r="G31" s="149"/>
      <c r="H31" s="150"/>
      <c r="J31" s="154" t="s">
        <v>314</v>
      </c>
      <c r="K31" s="155"/>
      <c r="L31" s="156"/>
      <c r="M31" s="97" t="s">
        <v>315</v>
      </c>
      <c r="N31" s="97" t="s">
        <v>295</v>
      </c>
      <c r="O31" s="98" t="s">
        <v>316</v>
      </c>
      <c r="P31" s="157" t="s">
        <v>347</v>
      </c>
      <c r="Q31" s="158"/>
    </row>
    <row r="32" spans="1:17" ht="16.5" customHeight="1" x14ac:dyDescent="0.25">
      <c r="A32" s="99" t="s">
        <v>298</v>
      </c>
      <c r="B32" s="100" t="e">
        <f>B16/100</f>
        <v>#VALUE!</v>
      </c>
      <c r="C32" s="101">
        <v>43199</v>
      </c>
      <c r="D32" s="102" t="s">
        <v>296</v>
      </c>
      <c r="E32" s="101" t="e">
        <f>C32+Identificación!H1+Identificación!I1</f>
        <v>#VALUE!</v>
      </c>
      <c r="F32" s="108" t="e">
        <f>90-Identificación!G1</f>
        <v>#VALUE!</v>
      </c>
      <c r="G32" s="103" t="s">
        <v>304</v>
      </c>
      <c r="H32" s="104"/>
      <c r="J32" s="99" t="s">
        <v>306</v>
      </c>
      <c r="K32" s="100"/>
      <c r="L32" s="103"/>
      <c r="M32" s="102">
        <v>0.21</v>
      </c>
      <c r="N32" s="105">
        <v>5.0000000000000001E-3</v>
      </c>
      <c r="O32" s="106">
        <v>6</v>
      </c>
      <c r="P32" s="106" t="s">
        <v>351</v>
      </c>
      <c r="Q32" s="107" t="e">
        <f>7.75%+Identificación!H1/1000</f>
        <v>#VALUE!</v>
      </c>
    </row>
    <row r="33" spans="1:17" ht="16.5" customHeight="1" x14ac:dyDescent="0.25">
      <c r="A33" s="99" t="s">
        <v>299</v>
      </c>
      <c r="B33" s="100" t="e">
        <f>B32*1.2</f>
        <v>#VALUE!</v>
      </c>
      <c r="C33" s="101" t="e">
        <f>C32+Identificación!L1+Identificación!M1</f>
        <v>#VALUE!</v>
      </c>
      <c r="D33" s="102" t="s">
        <v>296</v>
      </c>
      <c r="E33" s="101" t="e">
        <f>C33+Identificación!H1+Identificación!I1</f>
        <v>#VALUE!</v>
      </c>
      <c r="F33" s="108" t="e">
        <f>30+Identificación!N1+Identificación!F1</f>
        <v>#VALUE!</v>
      </c>
      <c r="G33" s="103" t="s">
        <v>305</v>
      </c>
      <c r="H33" s="104"/>
      <c r="J33" s="99" t="s">
        <v>307</v>
      </c>
      <c r="K33" s="100"/>
      <c r="L33" s="103"/>
      <c r="M33" s="102">
        <v>0.53</v>
      </c>
      <c r="N33" s="105">
        <v>0.01</v>
      </c>
      <c r="O33" s="106">
        <v>6.1</v>
      </c>
      <c r="P33" s="106" t="s">
        <v>352</v>
      </c>
      <c r="Q33" s="107" t="e">
        <f>Q32+0.006</f>
        <v>#VALUE!</v>
      </c>
    </row>
    <row r="34" spans="1:17" ht="16.5" thickBot="1" x14ac:dyDescent="0.3">
      <c r="A34" s="109" t="s">
        <v>300</v>
      </c>
      <c r="B34" s="110" t="e">
        <f>B32*0.8</f>
        <v>#VALUE!</v>
      </c>
      <c r="C34" s="111" t="e">
        <f>C33-Identificación!H1</f>
        <v>#VALUE!</v>
      </c>
      <c r="D34" s="112" t="s">
        <v>297</v>
      </c>
      <c r="E34" s="111" t="s">
        <v>297</v>
      </c>
      <c r="F34" s="146" t="e">
        <f>C34+120</f>
        <v>#VALUE!</v>
      </c>
      <c r="G34" s="146"/>
      <c r="H34" s="147"/>
      <c r="J34" s="109" t="s">
        <v>308</v>
      </c>
      <c r="K34" s="110"/>
      <c r="L34" s="113"/>
      <c r="M34" s="112">
        <v>0.53</v>
      </c>
      <c r="N34" s="114">
        <v>1.4999999999999999E-2</v>
      </c>
      <c r="O34" s="115">
        <v>6.2</v>
      </c>
      <c r="P34" s="115" t="s">
        <v>353</v>
      </c>
      <c r="Q34" s="116" t="e">
        <f>Q33+0.009</f>
        <v>#VALUE!</v>
      </c>
    </row>
    <row r="38" spans="1:17" ht="19.5" customHeight="1" x14ac:dyDescent="0.35">
      <c r="A38" s="74" t="s">
        <v>317</v>
      </c>
      <c r="B38" s="76"/>
      <c r="G38" s="117"/>
    </row>
    <row r="39" spans="1:17" s="119" customFormat="1" thickBot="1" x14ac:dyDescent="0.3">
      <c r="A39" s="118" t="s">
        <v>376</v>
      </c>
      <c r="B39" s="118" t="s">
        <v>363</v>
      </c>
      <c r="C39" s="144" t="s">
        <v>318</v>
      </c>
      <c r="D39" s="144"/>
    </row>
    <row r="40" spans="1:17" s="122" customFormat="1" x14ac:dyDescent="0.25">
      <c r="A40" s="120" t="s">
        <v>324</v>
      </c>
      <c r="B40" s="121" t="e">
        <f>B20</f>
        <v>#VALUE!</v>
      </c>
      <c r="C40" s="161">
        <v>43219</v>
      </c>
      <c r="D40" s="162"/>
      <c r="G40" s="84" t="e">
        <f>D49*30</f>
        <v>#VALUE!</v>
      </c>
    </row>
    <row r="41" spans="1:17" x14ac:dyDescent="0.25">
      <c r="A41" s="99" t="s">
        <v>325</v>
      </c>
      <c r="B41" s="123" t="e">
        <f>B40+B18</f>
        <v>#VALUE!</v>
      </c>
      <c r="C41" s="163">
        <f>C40+25</f>
        <v>43244</v>
      </c>
      <c r="D41" s="164"/>
      <c r="H41" s="75"/>
    </row>
    <row r="42" spans="1:17" ht="16.5" thickBot="1" x14ac:dyDescent="0.3">
      <c r="A42" s="109" t="s">
        <v>326</v>
      </c>
      <c r="B42" s="124" t="e">
        <f>B40+B41</f>
        <v>#VALUE!</v>
      </c>
      <c r="C42" s="165">
        <f>C41+25</f>
        <v>43269</v>
      </c>
      <c r="D42" s="166"/>
      <c r="H42" s="75"/>
    </row>
    <row r="43" spans="1:17" x14ac:dyDescent="0.25">
      <c r="H43" s="75"/>
    </row>
    <row r="44" spans="1:17" x14ac:dyDescent="0.25">
      <c r="H44" s="75"/>
    </row>
    <row r="45" spans="1:17" x14ac:dyDescent="0.25">
      <c r="F45" s="75"/>
      <c r="G45" s="75"/>
      <c r="H45" s="75"/>
    </row>
    <row r="46" spans="1:17" ht="24" thickBot="1" x14ac:dyDescent="0.4">
      <c r="A46" s="74" t="s">
        <v>309</v>
      </c>
      <c r="G46" s="75"/>
      <c r="H46" s="75"/>
    </row>
    <row r="47" spans="1:17" x14ac:dyDescent="0.25">
      <c r="A47" s="167" t="s">
        <v>363</v>
      </c>
      <c r="B47" s="159" t="s">
        <v>310</v>
      </c>
      <c r="C47" s="169"/>
      <c r="D47" s="160"/>
      <c r="E47" s="159" t="s">
        <v>311</v>
      </c>
      <c r="F47" s="160"/>
      <c r="G47" s="75"/>
      <c r="H47" s="75"/>
    </row>
    <row r="48" spans="1:17" ht="48.75" thickBot="1" x14ac:dyDescent="0.3">
      <c r="A48" s="168"/>
      <c r="B48" s="125" t="s">
        <v>364</v>
      </c>
      <c r="C48" s="126" t="s">
        <v>354</v>
      </c>
      <c r="D48" s="127" t="s">
        <v>312</v>
      </c>
      <c r="E48" s="128" t="s">
        <v>365</v>
      </c>
      <c r="F48" s="129" t="s">
        <v>313</v>
      </c>
      <c r="H48" s="75"/>
    </row>
    <row r="49" spans="1:10" ht="16.5" thickBot="1" x14ac:dyDescent="0.3">
      <c r="A49" s="130" t="e">
        <f>3500+(50*Identificación!N1)</f>
        <v>#VALUE!</v>
      </c>
      <c r="B49" s="131" t="e">
        <f>3%-(Identificación!G1/400)</f>
        <v>#VALUE!</v>
      </c>
      <c r="C49" s="132" t="e">
        <f>3.25%+(Identificación!L1/400)</f>
        <v>#VALUE!</v>
      </c>
      <c r="D49" s="137" t="e">
        <f>Identificación!N1</f>
        <v>#VALUE!</v>
      </c>
      <c r="E49" s="133" t="e">
        <f>1.75%+(Identificación!G1/400)</f>
        <v>#VALUE!</v>
      </c>
      <c r="F49" s="134" t="e">
        <f>ROUND(G40,0)</f>
        <v>#VALUE!</v>
      </c>
    </row>
    <row r="51" spans="1:10" x14ac:dyDescent="0.25">
      <c r="G51" s="135"/>
      <c r="H51" s="135"/>
      <c r="I51" s="135"/>
      <c r="J51" s="135"/>
    </row>
  </sheetData>
  <sheetProtection algorithmName="SHA-512" hashValue="Xg9Fk3Au6241RksCWMIOmWN3DJTVx/j96Zk0b0+I3MqKSkHP73uDKp6P6/U7iZIdAnjzOLuKD8LH//TxyBL5Yg==" saltValue="ws3WGGDSbQpEQRw4ydmy3w==" spinCount="100000" sheet="1" objects="1" scenarios="1" selectLockedCells="1" selectUnlockedCells="1"/>
  <customSheetViews>
    <customSheetView guid="{C4A4410C-4878-4479-83AC-0B044EAF1DA6}" scale="90" showGridLines="0">
      <selection activeCell="J2" sqref="J2"/>
      <pageMargins left="0.7" right="0.7" top="0.75" bottom="0.75" header="0.3" footer="0.3"/>
      <pageSetup paperSize="9" orientation="portrait" r:id="rId1"/>
    </customSheetView>
  </customSheetViews>
  <mergeCells count="15">
    <mergeCell ref="E47:F47"/>
    <mergeCell ref="C40:D40"/>
    <mergeCell ref="C41:D41"/>
    <mergeCell ref="C42:D42"/>
    <mergeCell ref="A47:A48"/>
    <mergeCell ref="B47:D47"/>
    <mergeCell ref="C39:D39"/>
    <mergeCell ref="C2:D2"/>
    <mergeCell ref="F2:G2"/>
    <mergeCell ref="F34:H34"/>
    <mergeCell ref="E15:N15"/>
    <mergeCell ref="F31:H31"/>
    <mergeCell ref="J30:Q30"/>
    <mergeCell ref="J31:L31"/>
    <mergeCell ref="P31:Q31"/>
  </mergeCells>
  <pageMargins left="0.7" right="0.7" top="0.75" bottom="0.75" header="0.3" footer="0.3"/>
  <pageSetup paperSize="9" orientation="portrait" r:id="rId2"/>
  <ignoredErrors>
    <ignoredError sqref="D7 K4:K7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4C38A11-BE1F-4C87-A4D0-639FF1147D79}">
            <xm:f>Identificación!$G$3=""</xm:f>
            <x14:dxf>
              <font>
                <color theme="0"/>
              </font>
            </x14:dxf>
          </x14:cfRule>
          <xm:sqref>A1:XFD1048576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activeCell="C19" sqref="C19"/>
    </sheetView>
  </sheetViews>
  <sheetFormatPr baseColWidth="10" defaultRowHeight="15.75" x14ac:dyDescent="0.25"/>
  <cols>
    <col min="1" max="1" width="30.875" bestFit="1" customWidth="1"/>
    <col min="2" max="2" width="13.75" customWidth="1"/>
    <col min="3" max="3" width="11.875" customWidth="1"/>
    <col min="4" max="4" width="13.75" customWidth="1"/>
    <col min="5" max="5" width="19.5" bestFit="1" customWidth="1"/>
    <col min="6" max="9" width="13.75" customWidth="1"/>
  </cols>
  <sheetData>
    <row r="1" spans="1:9" ht="132.75" customHeight="1" x14ac:dyDescent="0.25"/>
    <row r="3" spans="1:9" ht="23.25" x14ac:dyDescent="0.35">
      <c r="A3" s="22" t="s">
        <v>317</v>
      </c>
      <c r="C3" s="172" t="s">
        <v>372</v>
      </c>
      <c r="D3" s="172"/>
      <c r="E3" s="13"/>
      <c r="F3" s="13"/>
      <c r="G3" s="13"/>
      <c r="H3" s="13"/>
      <c r="I3" s="13"/>
    </row>
    <row r="4" spans="1:9" ht="18.75" x14ac:dyDescent="0.35">
      <c r="A4" s="47" t="s">
        <v>319</v>
      </c>
      <c r="B4" s="48" t="s">
        <v>320</v>
      </c>
      <c r="C4" s="49" t="s">
        <v>370</v>
      </c>
      <c r="D4" s="49" t="s">
        <v>371</v>
      </c>
      <c r="E4" s="49" t="s">
        <v>369</v>
      </c>
      <c r="F4" s="171" t="s">
        <v>321</v>
      </c>
      <c r="G4" s="171"/>
      <c r="H4" s="48" t="s">
        <v>0</v>
      </c>
      <c r="I4" s="48" t="s">
        <v>328</v>
      </c>
    </row>
    <row r="5" spans="1:9" ht="21.75" customHeight="1" x14ac:dyDescent="0.35">
      <c r="A5" s="41">
        <v>43195</v>
      </c>
      <c r="B5" s="42"/>
      <c r="C5" s="43" t="s">
        <v>323</v>
      </c>
      <c r="D5" s="44"/>
      <c r="E5" s="44"/>
      <c r="F5" s="45"/>
      <c r="G5" s="45" t="s">
        <v>327</v>
      </c>
      <c r="H5" s="42"/>
      <c r="I5" s="42"/>
    </row>
    <row r="6" spans="1:9" ht="21.75" customHeight="1" x14ac:dyDescent="0.35">
      <c r="A6" s="41">
        <f>A5+4</f>
        <v>43199</v>
      </c>
      <c r="B6" s="42"/>
      <c r="C6" s="43" t="s">
        <v>329</v>
      </c>
      <c r="D6" s="46"/>
      <c r="E6" s="46"/>
      <c r="F6" s="50"/>
      <c r="G6" s="45" t="str">
        <f>G5</f>
        <v>días</v>
      </c>
      <c r="H6" s="42"/>
      <c r="I6" s="42"/>
    </row>
    <row r="7" spans="1:9" ht="21.75" customHeight="1" x14ac:dyDescent="0.35">
      <c r="A7" s="41">
        <v>43195</v>
      </c>
      <c r="B7" s="42"/>
      <c r="C7" s="43" t="s">
        <v>323</v>
      </c>
      <c r="D7" s="44"/>
      <c r="E7" s="44"/>
      <c r="F7" s="45"/>
      <c r="G7" s="45" t="s">
        <v>327</v>
      </c>
      <c r="H7" s="42"/>
      <c r="I7" s="42"/>
    </row>
    <row r="8" spans="1:9" ht="21.75" customHeight="1" x14ac:dyDescent="0.35">
      <c r="A8" s="41">
        <f t="shared" ref="A8:A11" si="0">A7+4</f>
        <v>43199</v>
      </c>
      <c r="B8" s="42"/>
      <c r="C8" s="43" t="s">
        <v>331</v>
      </c>
      <c r="D8" s="44"/>
      <c r="E8" s="44"/>
      <c r="F8" s="45"/>
      <c r="G8" s="45" t="s">
        <v>330</v>
      </c>
      <c r="H8" s="42"/>
      <c r="I8" s="42"/>
    </row>
    <row r="9" spans="1:9" ht="21.75" customHeight="1" x14ac:dyDescent="0.35">
      <c r="A9" s="41">
        <f t="shared" si="0"/>
        <v>43203</v>
      </c>
      <c r="B9" s="42"/>
      <c r="C9" s="43" t="s">
        <v>333</v>
      </c>
      <c r="D9" s="44"/>
      <c r="E9" s="44"/>
      <c r="F9" s="45"/>
      <c r="G9" s="45" t="s">
        <v>332</v>
      </c>
      <c r="H9" s="42"/>
      <c r="I9" s="42"/>
    </row>
    <row r="10" spans="1:9" ht="21.75" customHeight="1" x14ac:dyDescent="0.35">
      <c r="A10" s="41">
        <f t="shared" si="0"/>
        <v>43207</v>
      </c>
      <c r="B10" s="42"/>
      <c r="C10" s="43" t="s">
        <v>339</v>
      </c>
      <c r="D10" s="44"/>
      <c r="E10" s="44"/>
      <c r="F10" s="45"/>
      <c r="G10" s="45" t="s">
        <v>334</v>
      </c>
      <c r="H10" s="42"/>
      <c r="I10" s="42"/>
    </row>
    <row r="11" spans="1:9" ht="21.75" customHeight="1" x14ac:dyDescent="0.35">
      <c r="A11" s="41">
        <f t="shared" si="0"/>
        <v>43211</v>
      </c>
      <c r="B11" s="42"/>
      <c r="C11" s="43" t="s">
        <v>337</v>
      </c>
      <c r="D11" s="44"/>
      <c r="E11" s="44"/>
      <c r="F11" s="45"/>
      <c r="G11" s="45" t="s">
        <v>338</v>
      </c>
      <c r="H11" s="42"/>
      <c r="I11" s="42"/>
    </row>
    <row r="12" spans="1:9" ht="18.75" customHeight="1" x14ac:dyDescent="0.25">
      <c r="A12" s="23"/>
      <c r="B12" s="24"/>
      <c r="C12" s="170"/>
      <c r="D12" s="170"/>
      <c r="E12" s="40"/>
      <c r="F12" s="170"/>
      <c r="G12" s="170"/>
      <c r="H12" s="24"/>
      <c r="I12" s="24"/>
    </row>
    <row r="13" spans="1:9" ht="18.75" customHeight="1" x14ac:dyDescent="0.25">
      <c r="A13" s="30"/>
      <c r="B13" s="26"/>
      <c r="C13" s="27"/>
      <c r="D13" s="28"/>
      <c r="E13" s="28"/>
      <c r="F13" s="25"/>
      <c r="G13" s="25"/>
      <c r="H13" s="26"/>
      <c r="I13" s="26"/>
    </row>
    <row r="14" spans="1:9" ht="18.75" customHeight="1" x14ac:dyDescent="0.25">
      <c r="A14" s="30"/>
      <c r="B14" s="26"/>
      <c r="C14" s="27"/>
      <c r="D14" s="29"/>
      <c r="E14" s="29"/>
      <c r="F14" s="25"/>
      <c r="G14" s="25"/>
      <c r="H14" s="26"/>
      <c r="I14" s="26"/>
    </row>
    <row r="15" spans="1:9" ht="18.75" customHeight="1" x14ac:dyDescent="0.25">
      <c r="A15" s="30"/>
      <c r="B15" s="26"/>
      <c r="C15" s="27"/>
      <c r="D15" s="28"/>
      <c r="E15" s="28"/>
      <c r="F15" s="25"/>
      <c r="G15" s="25"/>
      <c r="H15" s="26"/>
      <c r="I15" s="26"/>
    </row>
    <row r="16" spans="1:9" ht="18.75" customHeight="1" x14ac:dyDescent="0.25">
      <c r="A16" s="30"/>
      <c r="B16" s="26"/>
      <c r="C16" s="27"/>
      <c r="D16" s="28"/>
      <c r="E16" s="28"/>
      <c r="F16" s="25"/>
      <c r="G16" s="25"/>
      <c r="H16" s="26"/>
      <c r="I16" s="26"/>
    </row>
    <row r="17" spans="1:9" ht="18.75" customHeight="1" x14ac:dyDescent="0.25">
      <c r="A17" s="30"/>
      <c r="B17" s="26"/>
      <c r="C17" s="27"/>
      <c r="D17" s="28"/>
      <c r="E17" s="28"/>
      <c r="F17" s="25"/>
      <c r="G17" s="25"/>
      <c r="H17" s="26"/>
      <c r="I17" s="26"/>
    </row>
    <row r="18" spans="1:9" x14ac:dyDescent="0.25">
      <c r="A18" s="30"/>
      <c r="B18" s="26"/>
      <c r="C18" s="27"/>
      <c r="D18" s="28"/>
      <c r="E18" s="28"/>
      <c r="F18" s="25"/>
      <c r="G18" s="25"/>
      <c r="H18" s="26"/>
      <c r="I18" s="26"/>
    </row>
    <row r="19" spans="1:9" ht="18.75" customHeight="1" x14ac:dyDescent="0.25">
      <c r="A19" s="30"/>
      <c r="B19" s="26"/>
      <c r="C19" s="27"/>
      <c r="D19" s="28"/>
      <c r="E19" s="28"/>
      <c r="F19" s="25"/>
      <c r="G19" s="25"/>
      <c r="H19" s="26"/>
      <c r="I19" s="26"/>
    </row>
  </sheetData>
  <customSheetViews>
    <customSheetView guid="{C4A4410C-4878-4479-83AC-0B044EAF1DA6}" showGridLines="0" topLeftCell="A2">
      <selection activeCell="C19" sqref="C19"/>
      <pageMargins left="0.7" right="0.7" top="0.75" bottom="0.75" header="0.3" footer="0.3"/>
      <pageSetup paperSize="9" orientation="portrait" r:id="rId1"/>
    </customSheetView>
  </customSheetViews>
  <mergeCells count="4">
    <mergeCell ref="C12:D12"/>
    <mergeCell ref="F12:G12"/>
    <mergeCell ref="F4:G4"/>
    <mergeCell ref="C3:D3"/>
  </mergeCell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K1" sqref="K1"/>
    </sheetView>
  </sheetViews>
  <sheetFormatPr baseColWidth="10" defaultRowHeight="15.75" x14ac:dyDescent="0.25"/>
  <cols>
    <col min="1" max="1" width="29.625" bestFit="1" customWidth="1"/>
    <col min="14" max="14" width="12.25" customWidth="1"/>
  </cols>
  <sheetData>
    <row r="1" spans="1:14" ht="159.75" customHeight="1" x14ac:dyDescent="0.25"/>
    <row r="2" spans="1:14" ht="34.5" customHeight="1" x14ac:dyDescent="0.25">
      <c r="A2" s="178" t="s">
        <v>373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4" x14ac:dyDescent="0.25">
      <c r="A3" s="14"/>
      <c r="B3" s="179" t="s">
        <v>260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1"/>
      <c r="N3" s="173" t="s">
        <v>259</v>
      </c>
    </row>
    <row r="4" spans="1:14" x14ac:dyDescent="0.25">
      <c r="A4" s="14"/>
      <c r="B4" s="15">
        <v>1</v>
      </c>
      <c r="C4" s="15">
        <v>2</v>
      </c>
      <c r="D4" s="15">
        <v>3</v>
      </c>
      <c r="E4" s="15">
        <v>4</v>
      </c>
      <c r="F4" s="15">
        <v>5</v>
      </c>
      <c r="G4" s="15">
        <v>6</v>
      </c>
      <c r="H4" s="15">
        <v>7</v>
      </c>
      <c r="I4" s="15">
        <v>8</v>
      </c>
      <c r="J4" s="15">
        <v>9</v>
      </c>
      <c r="K4" s="15">
        <v>10</v>
      </c>
      <c r="L4" s="15">
        <v>11</v>
      </c>
      <c r="M4" s="15">
        <v>12</v>
      </c>
      <c r="N4" s="174"/>
    </row>
    <row r="5" spans="1:14" x14ac:dyDescent="0.25">
      <c r="A5" s="51" t="s">
        <v>374</v>
      </c>
      <c r="B5" s="176" t="s">
        <v>359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7"/>
      <c r="N5" s="175"/>
    </row>
    <row r="6" spans="1:14" x14ac:dyDescent="0.25">
      <c r="A6" s="12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31"/>
    </row>
    <row r="7" spans="1:14" x14ac:dyDescent="0.25">
      <c r="A7" s="12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31"/>
    </row>
    <row r="8" spans="1:14" x14ac:dyDescent="0.25">
      <c r="A8" s="12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31"/>
    </row>
    <row r="9" spans="1:14" x14ac:dyDescent="0.25">
      <c r="A9" s="12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31"/>
    </row>
    <row r="10" spans="1:14" x14ac:dyDescent="0.25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31"/>
    </row>
    <row r="11" spans="1:14" x14ac:dyDescent="0.25">
      <c r="A11" s="12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31"/>
    </row>
    <row r="12" spans="1:14" x14ac:dyDescent="0.25">
      <c r="A12" s="1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31"/>
    </row>
    <row r="13" spans="1:14" x14ac:dyDescent="0.25">
      <c r="A13" s="12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31"/>
    </row>
    <row r="14" spans="1:14" x14ac:dyDescent="0.25">
      <c r="A14" s="17" t="s">
        <v>263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32"/>
    </row>
    <row r="15" spans="1:14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x14ac:dyDescent="0.25">
      <c r="A16" s="51" t="s">
        <v>374</v>
      </c>
      <c r="B16" s="176" t="s">
        <v>360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7"/>
    </row>
    <row r="17" spans="1:14" x14ac:dyDescent="0.25">
      <c r="A17" s="12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31"/>
    </row>
    <row r="18" spans="1:14" x14ac:dyDescent="0.25">
      <c r="A18" s="12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31"/>
    </row>
    <row r="19" spans="1:14" x14ac:dyDescent="0.25">
      <c r="A19" s="12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31"/>
    </row>
    <row r="20" spans="1:14" x14ac:dyDescent="0.25">
      <c r="A20" s="12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31"/>
    </row>
    <row r="21" spans="1:14" x14ac:dyDescent="0.25">
      <c r="A21" s="12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31"/>
    </row>
    <row r="22" spans="1:14" x14ac:dyDescent="0.25">
      <c r="A22" s="12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31"/>
    </row>
    <row r="23" spans="1:14" x14ac:dyDescent="0.25">
      <c r="A23" s="12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31"/>
    </row>
    <row r="24" spans="1:14" x14ac:dyDescent="0.25">
      <c r="A24" s="12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31"/>
    </row>
    <row r="25" spans="1:14" x14ac:dyDescent="0.25">
      <c r="A25" s="17" t="s">
        <v>269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5">
      <c r="A26" s="12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4" x14ac:dyDescent="0.25">
      <c r="A27" s="19" t="s">
        <v>270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x14ac:dyDescent="0.25">
      <c r="A28" s="12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 x14ac:dyDescent="0.25">
      <c r="A29" s="19" t="s">
        <v>271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</sheetData>
  <customSheetViews>
    <customSheetView guid="{C4A4410C-4878-4479-83AC-0B044EAF1DA6}" showGridLines="0">
      <selection activeCell="K1" sqref="K1"/>
      <pageMargins left="0.7" right="0.7" top="0.75" bottom="0.75" header="0.3" footer="0.3"/>
    </customSheetView>
  </customSheetViews>
  <mergeCells count="5">
    <mergeCell ref="N3:N5"/>
    <mergeCell ref="B5:M5"/>
    <mergeCell ref="B16:N16"/>
    <mergeCell ref="A2:M2"/>
    <mergeCell ref="B3:M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showGridLines="0" workbookViewId="0">
      <selection activeCell="I4" sqref="I4"/>
    </sheetView>
  </sheetViews>
  <sheetFormatPr baseColWidth="10" defaultRowHeight="15.75" x14ac:dyDescent="0.25"/>
  <cols>
    <col min="1" max="1" width="26.5" customWidth="1"/>
    <col min="2" max="2" width="15.75" bestFit="1" customWidth="1"/>
    <col min="3" max="3" width="15.125" bestFit="1" customWidth="1"/>
    <col min="4" max="4" width="10.375" bestFit="1" customWidth="1"/>
    <col min="5" max="5" width="10.75" customWidth="1"/>
    <col min="6" max="6" width="19.75" customWidth="1"/>
    <col min="7" max="7" width="5.375" customWidth="1"/>
    <col min="8" max="8" width="14.875" customWidth="1"/>
    <col min="9" max="14" width="13.625" customWidth="1"/>
  </cols>
  <sheetData>
    <row r="1" spans="1:14" ht="129.75" customHeight="1" x14ac:dyDescent="0.25"/>
    <row r="2" spans="1:14" ht="16.5" thickBot="1" x14ac:dyDescent="0.3"/>
    <row r="3" spans="1:14" ht="30.75" customHeight="1" x14ac:dyDescent="0.25">
      <c r="A3" s="37" t="s">
        <v>350</v>
      </c>
      <c r="B3" s="37" t="s">
        <v>341</v>
      </c>
      <c r="C3" s="52" t="s">
        <v>342</v>
      </c>
      <c r="D3" s="52" t="s">
        <v>293</v>
      </c>
      <c r="E3" s="52" t="s">
        <v>294</v>
      </c>
      <c r="F3" s="52" t="s">
        <v>343</v>
      </c>
      <c r="G3" s="182" t="s">
        <v>344</v>
      </c>
      <c r="H3" s="183"/>
      <c r="I3" s="52" t="s">
        <v>345</v>
      </c>
      <c r="J3" s="52" t="s">
        <v>346</v>
      </c>
      <c r="K3" s="52" t="s">
        <v>347</v>
      </c>
      <c r="L3" s="52" t="s">
        <v>348</v>
      </c>
      <c r="M3" s="52" t="s">
        <v>295</v>
      </c>
      <c r="N3" s="53" t="s">
        <v>349</v>
      </c>
    </row>
    <row r="4" spans="1:14" ht="30.75" customHeight="1" x14ac:dyDescent="0.25">
      <c r="A4" s="59" t="s">
        <v>298</v>
      </c>
      <c r="B4" s="55"/>
      <c r="C4" s="56"/>
      <c r="D4" s="55"/>
      <c r="E4" s="56"/>
      <c r="F4" s="56"/>
      <c r="G4" s="70"/>
      <c r="H4" s="71"/>
      <c r="I4" s="38"/>
      <c r="J4" s="57"/>
      <c r="K4" s="58"/>
      <c r="L4" s="39"/>
      <c r="M4" s="39"/>
      <c r="N4" s="60"/>
    </row>
    <row r="5" spans="1:14" ht="30.75" customHeight="1" x14ac:dyDescent="0.25">
      <c r="A5" s="59" t="s">
        <v>299</v>
      </c>
      <c r="B5" s="55"/>
      <c r="C5" s="56"/>
      <c r="D5" s="55"/>
      <c r="E5" s="56"/>
      <c r="F5" s="56"/>
      <c r="G5" s="70"/>
      <c r="H5" s="71"/>
      <c r="I5" s="38"/>
      <c r="J5" s="57"/>
      <c r="K5" s="58"/>
      <c r="L5" s="39"/>
      <c r="M5" s="39"/>
      <c r="N5" s="60"/>
    </row>
    <row r="6" spans="1:14" ht="30.75" customHeight="1" thickBot="1" x14ac:dyDescent="0.3">
      <c r="A6" s="61" t="s">
        <v>300</v>
      </c>
      <c r="B6" s="62"/>
      <c r="C6" s="63"/>
      <c r="D6" s="62"/>
      <c r="E6" s="64"/>
      <c r="F6" s="63"/>
      <c r="G6" s="72"/>
      <c r="H6" s="73"/>
      <c r="I6" s="65"/>
      <c r="J6" s="66"/>
      <c r="K6" s="67"/>
      <c r="L6" s="68"/>
      <c r="M6" s="68"/>
      <c r="N6" s="69"/>
    </row>
    <row r="7" spans="1:14" ht="30.75" customHeight="1" thickBot="1" x14ac:dyDescent="0.3">
      <c r="I7" s="36"/>
      <c r="J7" s="36"/>
      <c r="K7" s="36"/>
      <c r="L7" s="54"/>
      <c r="M7" s="54"/>
      <c r="N7" s="54"/>
    </row>
  </sheetData>
  <customSheetViews>
    <customSheetView guid="{C4A4410C-4878-4479-83AC-0B044EAF1DA6}" showGridLines="0">
      <selection activeCell="I4" sqref="I4"/>
      <pageMargins left="0.7" right="0.7" top="0.75" bottom="0.75" header="0.3" footer="0.3"/>
      <pageSetup paperSize="9" orientation="portrait" r:id="rId1"/>
    </customSheetView>
  </customSheetViews>
  <mergeCells count="1">
    <mergeCell ref="G3:H3"/>
  </mergeCell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H18" sqref="H18"/>
    </sheetView>
  </sheetViews>
  <sheetFormatPr baseColWidth="10" defaultRowHeight="15.75" x14ac:dyDescent="0.25"/>
  <sheetData/>
  <customSheetViews>
    <customSheetView guid="{C4A4410C-4878-4479-83AC-0B044EAF1DA6}" showGridLines="0">
      <selection activeCell="H18" sqref="H18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19" workbookViewId="0">
      <selection activeCell="G19" sqref="G19"/>
    </sheetView>
  </sheetViews>
  <sheetFormatPr baseColWidth="10" defaultRowHeight="15.75" x14ac:dyDescent="0.25"/>
  <cols>
    <col min="1" max="1" width="11" style="21" hidden="1" customWidth="1"/>
    <col min="2" max="2" width="12.25" style="21" customWidth="1"/>
    <col min="3" max="3" width="11" style="21"/>
    <col min="4" max="4" width="9.75" style="21" customWidth="1"/>
    <col min="5" max="5" width="11" style="21"/>
    <col min="6" max="6" width="24.5" style="21" bestFit="1" customWidth="1"/>
    <col min="7" max="16384" width="11" style="21"/>
  </cols>
  <sheetData/>
  <customSheetViews>
    <customSheetView guid="{C4A4410C-4878-4479-83AC-0B044EAF1DA6}" showGridLines="0" hiddenColumns="1" topLeftCell="B19">
      <selection activeCell="G19" sqref="G19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Identificación</vt:lpstr>
      <vt:lpstr>Datos</vt:lpstr>
      <vt:lpstr>capitalización</vt:lpstr>
      <vt:lpstr>tesorería</vt:lpstr>
      <vt:lpstr>descuento</vt:lpstr>
      <vt:lpstr>equivalencia</vt:lpstr>
      <vt:lpstr>TAE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IEDA</dc:creator>
  <cp:lastModifiedBy>IEDA</cp:lastModifiedBy>
  <cp:lastPrinted>2017-02-17T09:01:40Z</cp:lastPrinted>
  <dcterms:created xsi:type="dcterms:W3CDTF">2016-12-20T15:12:53Z</dcterms:created>
  <dcterms:modified xsi:type="dcterms:W3CDTF">2018-05-03T10:55:39Z</dcterms:modified>
</cp:coreProperties>
</file>